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57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'List1'!$A:$A,'List1'!$1:$3</definedName>
  </definedNames>
  <calcPr fullCalcOnLoad="1"/>
</workbook>
</file>

<file path=xl/sharedStrings.xml><?xml version="1.0" encoding="utf-8"?>
<sst xmlns="http://schemas.openxmlformats.org/spreadsheetml/2006/main" count="167" uniqueCount="153">
  <si>
    <t>R 2009</t>
  </si>
  <si>
    <t>UR 2009</t>
  </si>
  <si>
    <t>předpoklad 12/2009</t>
  </si>
  <si>
    <t>3421 dětská hřiště</t>
  </si>
  <si>
    <t>3745 veř.zeleň</t>
  </si>
  <si>
    <t>3111 mat.škola</t>
  </si>
  <si>
    <t>3141 škol.jídelna</t>
  </si>
  <si>
    <t>3231 zákl.uměl.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</si>
  <si>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</si>
  <si>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</si>
  <si>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</si>
  <si>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</si>
  <si>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</si>
  <si>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</si>
  <si>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3313 kino</t>
  </si>
  <si>
    <t>3314 knihovna</t>
  </si>
  <si>
    <t>3319 kult.střed</t>
  </si>
  <si>
    <t>3319 kult.akce</t>
  </si>
  <si>
    <t>3412 sport.hala</t>
  </si>
  <si>
    <t>5512 dobrov.hasiči</t>
  </si>
  <si>
    <t>08      HOSPODÁŘSTVÍ</t>
  </si>
  <si>
    <t>3612 dom.správa</t>
  </si>
  <si>
    <t>3612 bytové hosp.</t>
  </si>
  <si>
    <t>3639,3632 techn.sl</t>
  </si>
  <si>
    <t>6112 ZMČ</t>
  </si>
  <si>
    <t>6171 úřad provoz</t>
  </si>
  <si>
    <t>investiční akce</t>
  </si>
  <si>
    <t>kulturní akce</t>
  </si>
  <si>
    <t>různé organizační</t>
  </si>
  <si>
    <t xml:space="preserve"> =1505*1,05-0,25</t>
  </si>
  <si>
    <t xml:space="preserve"> =1000*1,05</t>
  </si>
  <si>
    <t xml:space="preserve"> =12*121*(12*20)/1000+1,52</t>
  </si>
  <si>
    <t xml:space="preserve"> =2330-1432+1548</t>
  </si>
  <si>
    <t xml:space="preserve"> =(622*1,2+3,6-750)+622-255+493</t>
  </si>
  <si>
    <t xml:space="preserve"> =1828-984+1021</t>
  </si>
  <si>
    <t xml:space="preserve"> =(572*1,2+13,6-700)+572-215+353</t>
  </si>
  <si>
    <t xml:space="preserve"> =12+16</t>
  </si>
  <si>
    <t xml:space="preserve"> =35+60+40+50+150</t>
  </si>
  <si>
    <t xml:space="preserve"> =1000+8000</t>
  </si>
  <si>
    <t xml:space="preserve"> =6000*1,05</t>
  </si>
  <si>
    <t xml:space="preserve"> =18500+9756+20069+16/16*400</t>
  </si>
  <si>
    <t xml:space="preserve"> =((174,28*12+48,64)+130-2270) +2232-2102+(2091+55)</t>
  </si>
  <si>
    <t>V Ý D A J E</t>
  </si>
  <si>
    <t>P Ř Í J M Y</t>
  </si>
  <si>
    <t xml:space="preserve"> =250*1397/1000+0,75</t>
  </si>
  <si>
    <t xml:space="preserve"> =537*1397/1000-0,189</t>
  </si>
  <si>
    <t xml:space="preserve"> =480*1,05-4</t>
  </si>
  <si>
    <t xml:space="preserve"> =250+35+520+13+250+1300</t>
  </si>
  <si>
    <t xml:space="preserve"> =8408*3,728472883</t>
  </si>
  <si>
    <t xml:space="preserve"> =4662+2498+1000</t>
  </si>
  <si>
    <t xml:space="preserve"> =3096*1,05-0,8+500</t>
  </si>
  <si>
    <r>
      <t xml:space="preserve"> =3400-</t>
    </r>
    <r>
      <rPr>
        <strike/>
        <sz val="8"/>
        <rFont val="Arial"/>
        <family val="2"/>
      </rPr>
      <t>500</t>
    </r>
  </si>
  <si>
    <t>2212 silnice</t>
  </si>
  <si>
    <r>
      <t xml:space="preserve"> =500+</t>
    </r>
    <r>
      <rPr>
        <strike/>
        <sz val="8"/>
        <rFont val="Arial"/>
        <family val="2"/>
      </rPr>
      <t>100</t>
    </r>
  </si>
  <si>
    <r>
      <t xml:space="preserve"> =</t>
    </r>
    <r>
      <rPr>
        <strike/>
        <sz val="8"/>
        <rFont val="Arial"/>
        <family val="2"/>
      </rPr>
      <t>500</t>
    </r>
    <r>
      <rPr>
        <sz val="8"/>
        <rFont val="Arial"/>
        <family val="0"/>
      </rPr>
      <t>+100</t>
    </r>
  </si>
  <si>
    <t>ZŠ objekty</t>
  </si>
  <si>
    <t>Rozpočet 2010</t>
  </si>
  <si>
    <t>3121 gymnazium</t>
  </si>
  <si>
    <t>ŠJ objekt</t>
  </si>
  <si>
    <t>Účelové prostředky poskytnuté státem a HMP:</t>
  </si>
  <si>
    <t>účelové dotace CELKEM</t>
  </si>
  <si>
    <t>MČ vlastní CELKEM</t>
  </si>
  <si>
    <t>MČ P 16 CELKEM</t>
  </si>
  <si>
    <r>
      <t xml:space="preserve"> =</t>
    </r>
    <r>
      <rPr>
        <strike/>
        <sz val="8"/>
        <rFont val="Arial"/>
        <family val="2"/>
      </rPr>
      <t>100</t>
    </r>
    <r>
      <rPr>
        <sz val="8"/>
        <rFont val="Arial"/>
        <family val="0"/>
      </rPr>
      <t>+100</t>
    </r>
  </si>
  <si>
    <t>4351/1 DPS čp. 461</t>
  </si>
  <si>
    <r>
      <t xml:space="preserve"> =100+</t>
    </r>
    <r>
      <rPr>
        <strike/>
        <sz val="8"/>
        <rFont val="Arial"/>
        <family val="2"/>
      </rPr>
      <t>100</t>
    </r>
  </si>
  <si>
    <t>org 2 osvětl.kostela</t>
  </si>
  <si>
    <t>org 16 Noviny P 16</t>
  </si>
  <si>
    <t>6171 objekt 23</t>
  </si>
  <si>
    <t>6171 objekt 732</t>
  </si>
  <si>
    <r>
      <t xml:space="preserve"> =</t>
    </r>
    <r>
      <rPr>
        <strike/>
        <sz val="8"/>
        <rFont val="Arial"/>
        <family val="2"/>
      </rPr>
      <t>380</t>
    </r>
    <r>
      <rPr>
        <sz val="8"/>
        <rFont val="Arial"/>
        <family val="0"/>
      </rPr>
      <t>+530+</t>
    </r>
    <r>
      <rPr>
        <strike/>
        <sz val="8"/>
        <rFont val="Arial"/>
        <family val="2"/>
      </rPr>
      <t>150</t>
    </r>
  </si>
  <si>
    <r>
      <t xml:space="preserve"> =380+</t>
    </r>
    <r>
      <rPr>
        <strike/>
        <sz val="8"/>
        <rFont val="Arial"/>
        <family val="2"/>
      </rPr>
      <t>530+150</t>
    </r>
  </si>
  <si>
    <r>
      <t xml:space="preserve"> =</t>
    </r>
    <r>
      <rPr>
        <strike/>
        <sz val="8"/>
        <rFont val="Arial"/>
        <family val="2"/>
      </rPr>
      <t>380+530</t>
    </r>
    <r>
      <rPr>
        <sz val="8"/>
        <rFont val="Arial"/>
        <family val="0"/>
      </rPr>
      <t>+150</t>
    </r>
  </si>
  <si>
    <t>4 NZZ 153 kluz</t>
  </si>
  <si>
    <t>org 241209 vánoce</t>
  </si>
  <si>
    <t xml:space="preserve"> =((16/8408*3024/100-257,92)+ ((22683*551,697-145,26)+                                36,145*157974,907-3,001))/1000</t>
  </si>
  <si>
    <t xml:space="preserve"> =2008/*(14000*3/4*110%-11550*0-550)</t>
  </si>
  <si>
    <t>úprava rozpočtu</t>
  </si>
  <si>
    <t>vlastní úpravy MČ</t>
  </si>
  <si>
    <t>upravený rozpočet</t>
  </si>
  <si>
    <t>stát:</t>
  </si>
  <si>
    <t>HMP:</t>
  </si>
  <si>
    <t>Grant soc.péče</t>
  </si>
  <si>
    <t>xxxx mobiliář RMČ 1188/82/2009</t>
  </si>
  <si>
    <t>3113 zákl.škola + RMČ 1264/88/2010</t>
  </si>
  <si>
    <r>
      <t>2310</t>
    </r>
    <r>
      <rPr>
        <sz val="8"/>
        <rFont val="Arial"/>
        <family val="2"/>
      </rPr>
      <t xml:space="preserve"> voda</t>
    </r>
  </si>
  <si>
    <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</si>
  <si>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MŠ objekt</t>
  </si>
  <si>
    <t xml:space="preserve">     mzdy samospráva</t>
  </si>
  <si>
    <t xml:space="preserve">     mzdy st.správa</t>
  </si>
  <si>
    <t xml:space="preserve">     mzdy SPOD</t>
  </si>
  <si>
    <t xml:space="preserve">     mzdy soc.péče</t>
  </si>
  <si>
    <t xml:space="preserve">     náklady soc.agendy</t>
  </si>
  <si>
    <t>1517 MMB</t>
  </si>
  <si>
    <t>dat.schr. 011109</t>
  </si>
  <si>
    <t>výsledek:</t>
  </si>
  <si>
    <t>4351/2 NDPS čp 1522</t>
  </si>
  <si>
    <t>R 90,0 přesun na ORJ 02</t>
  </si>
  <si>
    <t>R 90,0 přesun z ORJ 03</t>
  </si>
  <si>
    <r>
      <t xml:space="preserve">02 </t>
    </r>
    <r>
      <rPr>
        <sz val="9"/>
        <rFont val="Arial"/>
        <family val="0"/>
      </rPr>
      <t>provoz Sběrn.dv</t>
    </r>
  </si>
  <si>
    <t>3421 org 11106</t>
  </si>
  <si>
    <t>dotace stát:</t>
  </si>
  <si>
    <r>
      <t xml:space="preserve">04 </t>
    </r>
    <r>
      <rPr>
        <sz val="9"/>
        <rFont val="Arial"/>
        <family val="0"/>
      </rPr>
      <t>prevence protidrog ZŠ</t>
    </r>
  </si>
  <si>
    <r>
      <t xml:space="preserve">05 </t>
    </r>
    <r>
      <rPr>
        <sz val="9"/>
        <rFont val="Arial"/>
        <family val="0"/>
      </rPr>
      <t>prevence protidrog SO P 16</t>
    </r>
  </si>
  <si>
    <r>
      <t xml:space="preserve">05 </t>
    </r>
    <r>
      <rPr>
        <sz val="9"/>
        <rFont val="Arial"/>
        <family val="0"/>
      </rPr>
      <t>Hmotná nouze a ZP UZ 13306</t>
    </r>
  </si>
  <si>
    <r>
      <t xml:space="preserve">05 </t>
    </r>
    <r>
      <rPr>
        <sz val="9"/>
        <rFont val="Arial"/>
        <family val="0"/>
      </rPr>
      <t>Příspěvek na péči UZ 13235</t>
    </r>
  </si>
  <si>
    <t>vratky dávek:</t>
  </si>
  <si>
    <r>
      <t xml:space="preserve">06 </t>
    </r>
    <r>
      <rPr>
        <sz val="9"/>
        <rFont val="Arial"/>
        <family val="0"/>
      </rPr>
      <t>knižní fond</t>
    </r>
  </si>
  <si>
    <r>
      <t xml:space="preserve">09 </t>
    </r>
    <r>
      <rPr>
        <sz val="9"/>
        <rFont val="Arial"/>
        <family val="0"/>
      </rPr>
      <t>výkon agendy SPOD</t>
    </r>
  </si>
  <si>
    <r>
      <t xml:space="preserve">09 </t>
    </r>
    <r>
      <rPr>
        <sz val="9"/>
        <rFont val="Arial"/>
        <family val="0"/>
      </rPr>
      <t>výkon agendy soc.sl</t>
    </r>
  </si>
  <si>
    <t>05 MPSV grant PS</t>
  </si>
  <si>
    <t>4112 dotace stát:</t>
  </si>
  <si>
    <t xml:space="preserve">2141 úroky: </t>
  </si>
  <si>
    <t>2460 splátky půjček SFZ:</t>
  </si>
  <si>
    <t>6171 objekt 21</t>
  </si>
  <si>
    <t xml:space="preserve">2210 sankce: </t>
  </si>
  <si>
    <r>
      <t>dary</t>
    </r>
    <r>
      <rPr>
        <sz val="7"/>
        <rFont val="Arial"/>
        <family val="2"/>
      </rPr>
      <t xml:space="preserve"> 2321 neinv 3121 inv 4129 SO: </t>
    </r>
  </si>
  <si>
    <t xml:space="preserve">2212 sankce - splátky: </t>
  </si>
  <si>
    <t>2343 dobýv.prostor:</t>
  </si>
  <si>
    <t>2329 nahodilé (z r. 2009):</t>
  </si>
  <si>
    <t>1341-5,7,51 místní poplatky:</t>
  </si>
  <si>
    <t>1361 správní poplatky:</t>
  </si>
  <si>
    <t>1511 daň z nemovitostí:</t>
  </si>
  <si>
    <t>4121 HMP dotace:</t>
  </si>
  <si>
    <t>4121 výnos DPPO za r. 2009:</t>
  </si>
  <si>
    <t>4131 z účtu ekon.činnosti:</t>
  </si>
  <si>
    <t>2221 FV 2009:</t>
  </si>
  <si>
    <t>2328 neidentifkované příjmy:</t>
  </si>
  <si>
    <t>Skutečnost 1-4/2010</t>
  </si>
  <si>
    <t xml:space="preserve">  4/12 =</t>
  </si>
  <si>
    <t>02 org 41083 mobiliář</t>
  </si>
  <si>
    <t>04 org 41082 MŠ zateplení</t>
  </si>
  <si>
    <t>04 org 41144 ZŠ dráha</t>
  </si>
  <si>
    <t>04 org 41145 ZŠ dráha</t>
  </si>
  <si>
    <t>04 ZŠ integrace</t>
  </si>
  <si>
    <t>3319 letopis.komise</t>
  </si>
  <si>
    <t>3319 kronika</t>
  </si>
  <si>
    <t>05   SOC. A  ZDRAV.</t>
  </si>
  <si>
    <t>06   KULTURA  A  SPORT</t>
  </si>
  <si>
    <t>07   B E Z P E Č N O S T</t>
  </si>
  <si>
    <t>04   Š K O L S T V Í</t>
  </si>
  <si>
    <t>02   ROZVOJ  OBCE</t>
  </si>
  <si>
    <t>03   D O P R A V A</t>
  </si>
  <si>
    <t>09   VNITŘNÍ  SPRÁVA</t>
  </si>
  <si>
    <t>10   FINANCOVÁNÍ</t>
  </si>
  <si>
    <t>09 volby do PSP ČR</t>
  </si>
  <si>
    <t>ZMČ 16.6.2010</t>
  </si>
  <si>
    <r>
      <t xml:space="preserve">2212 org </t>
    </r>
    <r>
      <rPr>
        <sz val="8"/>
        <rFont val="Arial"/>
        <family val="2"/>
      </rPr>
      <t>36122 Park. U DS</t>
    </r>
  </si>
  <si>
    <r>
      <t xml:space="preserve">2219 ost.zál.komun </t>
    </r>
    <r>
      <rPr>
        <sz val="8"/>
        <rFont val="Arial"/>
        <family val="2"/>
      </rPr>
      <t>vč osvětl SH</t>
    </r>
  </si>
  <si>
    <r>
      <t xml:space="preserve">dary 2322 </t>
    </r>
    <r>
      <rPr>
        <strike/>
        <sz val="8"/>
        <rFont val="Arial"/>
        <family val="2"/>
      </rPr>
      <t>neinv</t>
    </r>
    <r>
      <rPr>
        <sz val="8"/>
        <rFont val="Arial"/>
        <family val="2"/>
      </rPr>
      <t xml:space="preserve"> nahodilé ?: </t>
    </r>
  </si>
  <si>
    <r>
      <t>05 SOC</t>
    </r>
    <r>
      <rPr>
        <sz val="8"/>
        <rFont val="Arial"/>
        <family val="2"/>
      </rPr>
      <t xml:space="preserve"> inval -dar.sml</t>
    </r>
  </si>
  <si>
    <t>09 ZOZ</t>
  </si>
  <si>
    <t>Úprava rozpočtu MČ Praha 16 na rok 2010 schválena usn. ZMČ č. XXI/5/2010 dne 16. 6.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</si>
</sst>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trike/>
      <sz val="9"/>
      <name val="Arial"/>
      <family val="0"/>
    </font>
    <font>
      <b/>
      <sz val="7"/>
      <name val="Arial"/>
      <family val="2"/>
    </font>
    <font>
      <i/>
      <sz val="7"/>
      <name val="Arial"/>
      <family val="0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2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" borderId="0" xfId="0" applyFont="1" applyFill="1" applyAlignment="1">
      <alignment wrapText="1"/>
    </xf>
    <xf numFmtId="164" fontId="4" fillId="3" borderId="0" xfId="0" applyNumberFormat="1" applyFont="1" applyFill="1" applyAlignment="1">
      <alignment/>
    </xf>
    <xf numFmtId="164" fontId="4" fillId="3" borderId="0" xfId="0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3" fillId="2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2" fillId="2" borderId="0" xfId="0" applyNumberFormat="1" applyFont="1" applyFill="1" applyBorder="1" applyAlignment="1">
      <alignment/>
    </xf>
    <xf numFmtId="4" fontId="12" fillId="3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5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6" fillId="5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5" borderId="0" xfId="0" applyNumberFormat="1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0" fontId="15" fillId="0" borderId="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wrapText="1"/>
    </xf>
    <xf numFmtId="164" fontId="1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="85" zoomScaleNormal="85" workbookViewId="0" topLeftCell="A1">
      <pane xSplit="1" ySplit="3" topLeftCell="E10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3" sqref="E113"/>
    </sheetView>
  </sheetViews>
  <sheetFormatPr defaultColWidth="9.140625" defaultRowHeight="12.75"/>
  <cols>
    <col min="1" max="1" width="22.7109375" style="1" customWidth="1"/>
    <col min="2" max="2" width="11.00390625" style="26" hidden="1" customWidth="1"/>
    <col min="3" max="3" width="8.00390625" style="26" hidden="1" customWidth="1"/>
    <col min="4" max="4" width="9.8515625" style="26" hidden="1" customWidth="1"/>
    <col min="5" max="6" width="8.140625" style="13" customWidth="1"/>
    <col min="7" max="7" width="7.140625" style="13" customWidth="1"/>
    <col min="8" max="8" width="9.28125" style="13" hidden="1" customWidth="1"/>
    <col min="9" max="9" width="9.28125" style="13" customWidth="1"/>
    <col min="10" max="10" width="26.421875" style="10" hidden="1" customWidth="1"/>
    <col min="11" max="11" width="12.8515625" style="17" bestFit="1" customWidth="1"/>
    <col min="12" max="12" width="7.00390625" style="20" bestFit="1" customWidth="1"/>
    <col min="13" max="13" width="7.00390625" style="47" hidden="1" customWidth="1"/>
    <col min="14" max="14" width="22.8515625" style="10" customWidth="1"/>
    <col min="15" max="15" width="6.8515625" style="26" hidden="1" customWidth="1"/>
    <col min="16" max="16" width="8.00390625" style="26" hidden="1" customWidth="1"/>
    <col min="17" max="17" width="9.8515625" style="13" hidden="1" customWidth="1"/>
    <col min="18" max="18" width="8.00390625" style="13" customWidth="1"/>
    <col min="19" max="19" width="8.140625" style="13" customWidth="1"/>
    <col min="20" max="20" width="7.8515625" style="13" customWidth="1"/>
    <col min="21" max="21" width="9.28125" style="13" hidden="1" customWidth="1"/>
    <col min="22" max="22" width="9.28125" style="13" customWidth="1"/>
    <col min="23" max="23" width="28.7109375" style="8" hidden="1" customWidth="1"/>
    <col min="24" max="24" width="12.8515625" style="40" bestFit="1" customWidth="1"/>
    <col min="25" max="25" width="9.140625" style="41" customWidth="1"/>
    <col min="26" max="26" width="0" style="69" hidden="1" customWidth="1"/>
    <col min="27" max="16384" width="9.140625" style="69" customWidth="1"/>
  </cols>
  <sheetData>
    <row r="1" spans="1:26" ht="12.75">
      <c r="A1" s="67"/>
      <c r="B1" s="130" t="s">
        <v>42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46"/>
      <c r="N1"/>
      <c r="O1" s="130" t="s">
        <v>43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68"/>
    </row>
    <row r="2" spans="1:26" s="30" customFormat="1" ht="12.75" customHeight="1">
      <c r="A2" s="69"/>
      <c r="B2" s="42"/>
      <c r="C2" s="43"/>
      <c r="D2" s="43"/>
      <c r="E2" s="43"/>
      <c r="F2" s="134" t="s">
        <v>146</v>
      </c>
      <c r="G2" s="134"/>
      <c r="H2" s="134"/>
      <c r="I2" s="134"/>
      <c r="J2" s="70"/>
      <c r="K2" s="71" t="s">
        <v>129</v>
      </c>
      <c r="L2" s="72">
        <f>4/12</f>
        <v>0.3333333333333333</v>
      </c>
      <c r="M2" s="46"/>
      <c r="N2"/>
      <c r="O2" s="42"/>
      <c r="P2" s="42"/>
      <c r="Q2" s="42"/>
      <c r="R2" s="42"/>
      <c r="S2" s="134" t="s">
        <v>146</v>
      </c>
      <c r="T2" s="134"/>
      <c r="U2" s="134"/>
      <c r="V2" s="134"/>
      <c r="W2" s="70"/>
      <c r="X2" s="73" t="s">
        <v>129</v>
      </c>
      <c r="Y2" s="74">
        <f>4/12</f>
        <v>0.3333333333333333</v>
      </c>
      <c r="Z2" s="75"/>
    </row>
    <row r="3" spans="1:25" s="58" customFormat="1" ht="33.75">
      <c r="A3" s="30"/>
      <c r="B3" s="31" t="s">
        <v>0</v>
      </c>
      <c r="C3" s="31" t="s">
        <v>1</v>
      </c>
      <c r="D3" s="31" t="s">
        <v>2</v>
      </c>
      <c r="E3" s="51" t="s">
        <v>56</v>
      </c>
      <c r="F3" s="76" t="s">
        <v>77</v>
      </c>
      <c r="G3" s="76" t="s">
        <v>78</v>
      </c>
      <c r="H3" s="31"/>
      <c r="I3" s="57" t="s">
        <v>79</v>
      </c>
      <c r="J3" s="32"/>
      <c r="K3" s="128" t="s">
        <v>128</v>
      </c>
      <c r="L3" s="129"/>
      <c r="M3" s="77"/>
      <c r="N3" s="32"/>
      <c r="O3" s="31" t="s">
        <v>0</v>
      </c>
      <c r="P3" s="31" t="s">
        <v>1</v>
      </c>
      <c r="Q3" s="31" t="s">
        <v>2</v>
      </c>
      <c r="R3" s="51" t="s">
        <v>56</v>
      </c>
      <c r="S3" s="76" t="s">
        <v>77</v>
      </c>
      <c r="T3" s="76" t="s">
        <v>78</v>
      </c>
      <c r="U3" s="31"/>
      <c r="V3" s="57" t="s">
        <v>79</v>
      </c>
      <c r="W3" s="33"/>
      <c r="X3" s="132" t="s">
        <v>128</v>
      </c>
      <c r="Y3" s="133"/>
    </row>
    <row r="4" spans="1:25" s="30" customFormat="1" ht="12.75">
      <c r="A4" s="1" t="s">
        <v>3</v>
      </c>
      <c r="B4" s="26"/>
      <c r="C4" s="26">
        <v>18</v>
      </c>
      <c r="D4" s="26">
        <v>17.7</v>
      </c>
      <c r="E4" s="13">
        <v>20</v>
      </c>
      <c r="F4" s="13"/>
      <c r="G4" s="13"/>
      <c r="H4" s="13"/>
      <c r="I4" s="13">
        <f>SUM(E4:H4)</f>
        <v>20</v>
      </c>
      <c r="J4" s="10"/>
      <c r="K4" s="17">
        <f>4/4*5418</f>
        <v>5418</v>
      </c>
      <c r="L4" s="20">
        <f>K4/(I4*1000)</f>
        <v>0.2709</v>
      </c>
      <c r="M4" s="47"/>
      <c r="N4" s="10"/>
      <c r="O4" s="26"/>
      <c r="P4" s="26"/>
      <c r="Q4" s="13"/>
      <c r="R4" s="13"/>
      <c r="S4" s="13"/>
      <c r="T4" s="13"/>
      <c r="U4" s="13"/>
      <c r="V4" s="13">
        <f>SUM(R4:U4)</f>
        <v>0</v>
      </c>
      <c r="W4" s="8"/>
      <c r="X4" s="17"/>
      <c r="Y4" s="24"/>
    </row>
    <row r="5" spans="1:25" s="30" customFormat="1" ht="12.75">
      <c r="A5" s="1" t="s">
        <v>100</v>
      </c>
      <c r="B5" s="26"/>
      <c r="C5" s="26"/>
      <c r="D5" s="26"/>
      <c r="E5" s="13"/>
      <c r="F5" s="13"/>
      <c r="G5" s="13"/>
      <c r="H5" s="13"/>
      <c r="I5" s="13"/>
      <c r="J5" s="10"/>
      <c r="K5" s="17">
        <f>3/3*11760*0+4/4*29160</f>
        <v>29160</v>
      </c>
      <c r="L5" s="20"/>
      <c r="M5" s="47"/>
      <c r="N5" s="10"/>
      <c r="O5" s="26"/>
      <c r="P5" s="26"/>
      <c r="Q5" s="13"/>
      <c r="R5" s="13"/>
      <c r="S5" s="13"/>
      <c r="T5" s="13"/>
      <c r="U5" s="13"/>
      <c r="V5" s="13"/>
      <c r="W5" s="8"/>
      <c r="X5" s="17"/>
      <c r="Y5" s="24"/>
    </row>
    <row r="6" spans="1:25" s="30" customFormat="1" ht="24">
      <c r="A6" s="1" t="s">
        <v>83</v>
      </c>
      <c r="B6" s="26"/>
      <c r="C6" s="26"/>
      <c r="D6" s="26"/>
      <c r="E6" s="13"/>
      <c r="F6" s="13"/>
      <c r="G6" s="13">
        <v>2000</v>
      </c>
      <c r="H6" s="13"/>
      <c r="I6" s="13">
        <f>SUM(E6:H6)</f>
        <v>2000</v>
      </c>
      <c r="J6" s="10"/>
      <c r="K6" s="17"/>
      <c r="L6" s="20">
        <f>K6/(I6*1000)</f>
        <v>0</v>
      </c>
      <c r="M6" s="47"/>
      <c r="N6" s="10"/>
      <c r="O6" s="26"/>
      <c r="P6" s="26"/>
      <c r="Q6" s="13"/>
      <c r="R6" s="13"/>
      <c r="S6" s="13"/>
      <c r="T6" s="13"/>
      <c r="U6" s="13"/>
      <c r="V6" s="13"/>
      <c r="W6" s="8"/>
      <c r="X6" s="17"/>
      <c r="Y6" s="24"/>
    </row>
    <row r="7" spans="1:25" s="30" customFormat="1" ht="12.75">
      <c r="A7" s="1" t="s">
        <v>85</v>
      </c>
      <c r="B7" s="26"/>
      <c r="C7" s="26">
        <f>41+(5+7)+9</f>
        <v>62</v>
      </c>
      <c r="D7" s="26">
        <f>40.8+(5.2*0+12.4)+8.8</f>
        <v>62</v>
      </c>
      <c r="E7" s="13"/>
      <c r="F7" s="13"/>
      <c r="G7" s="13"/>
      <c r="H7" s="13"/>
      <c r="I7" s="13"/>
      <c r="J7" s="10"/>
      <c r="K7" s="17">
        <f>2/2*100280</f>
        <v>100280</v>
      </c>
      <c r="L7" s="20"/>
      <c r="M7" s="47"/>
      <c r="N7" s="10"/>
      <c r="O7" s="26"/>
      <c r="P7" s="26"/>
      <c r="Q7" s="13"/>
      <c r="R7" s="13"/>
      <c r="S7" s="13"/>
      <c r="T7" s="13"/>
      <c r="U7" s="13"/>
      <c r="V7" s="13"/>
      <c r="W7" s="8"/>
      <c r="X7" s="17"/>
      <c r="Y7" s="24"/>
    </row>
    <row r="8" spans="1:25" s="30" customFormat="1" ht="12" customHeight="1">
      <c r="A8" s="1" t="s">
        <v>86</v>
      </c>
      <c r="B8" s="26"/>
      <c r="C8" s="26">
        <f>41+(5+7)+9</f>
        <v>62</v>
      </c>
      <c r="D8" s="26">
        <f>40.8+(5.2*0+12.4)+8.8</f>
        <v>62</v>
      </c>
      <c r="E8" s="13"/>
      <c r="F8" s="13"/>
      <c r="G8" s="13"/>
      <c r="H8" s="13"/>
      <c r="I8" s="13"/>
      <c r="J8" s="10"/>
      <c r="K8" s="17">
        <f>2/2*4200</f>
        <v>4200</v>
      </c>
      <c r="L8" s="20"/>
      <c r="M8" s="47"/>
      <c r="N8" s="10"/>
      <c r="O8" s="26"/>
      <c r="P8" s="26"/>
      <c r="Q8" s="13"/>
      <c r="R8" s="13"/>
      <c r="S8" s="13"/>
      <c r="T8" s="13"/>
      <c r="U8" s="13"/>
      <c r="V8" s="13"/>
      <c r="W8" s="8"/>
      <c r="X8" s="17"/>
      <c r="Y8" s="24"/>
    </row>
    <row r="9" spans="1:25" s="30" customFormat="1" ht="12.75">
      <c r="A9" s="1" t="s">
        <v>4</v>
      </c>
      <c r="B9" s="26"/>
      <c r="C9" s="26">
        <v>90</v>
      </c>
      <c r="D9" s="26">
        <f>89.7</f>
        <v>89.7</v>
      </c>
      <c r="E9" s="13">
        <v>90</v>
      </c>
      <c r="F9" s="13"/>
      <c r="G9" s="13"/>
      <c r="H9" s="13"/>
      <c r="I9" s="13">
        <f>SUM(E9:H9)</f>
        <v>90</v>
      </c>
      <c r="J9" s="10"/>
      <c r="K9" s="17"/>
      <c r="L9" s="20">
        <f>K9/(I9*1000)</f>
        <v>0</v>
      </c>
      <c r="M9" s="47"/>
      <c r="N9" s="78" t="s">
        <v>98</v>
      </c>
      <c r="O9" s="79"/>
      <c r="P9" s="79"/>
      <c r="Q9" s="80"/>
      <c r="R9" s="80"/>
      <c r="S9" s="80"/>
      <c r="T9" s="80"/>
      <c r="U9" s="80"/>
      <c r="V9" s="80"/>
      <c r="W9" s="8"/>
      <c r="X9" s="17"/>
      <c r="Y9" s="24"/>
    </row>
    <row r="10" spans="1:25" s="30" customFormat="1" ht="12.75">
      <c r="A10" s="65" t="s">
        <v>141</v>
      </c>
      <c r="B10" s="3">
        <f aca="true" t="shared" si="0" ref="B10:G10">SUM(B4:B9)</f>
        <v>0</v>
      </c>
      <c r="C10" s="3">
        <f t="shared" si="0"/>
        <v>232</v>
      </c>
      <c r="D10" s="3">
        <f t="shared" si="0"/>
        <v>231.39999999999998</v>
      </c>
      <c r="E10" s="12">
        <f t="shared" si="0"/>
        <v>110</v>
      </c>
      <c r="F10" s="12">
        <f t="shared" si="0"/>
        <v>0</v>
      </c>
      <c r="G10" s="12">
        <f t="shared" si="0"/>
        <v>2000</v>
      </c>
      <c r="H10" s="12"/>
      <c r="I10" s="12">
        <f>SUM(I4:I9)</f>
        <v>2110</v>
      </c>
      <c r="J10" s="81"/>
      <c r="K10" s="18">
        <f>SUM(K4:K9)</f>
        <v>139058</v>
      </c>
      <c r="L10" s="21">
        <f>K10/(I10*1000)</f>
        <v>0.0659042654028436</v>
      </c>
      <c r="M10" s="82">
        <f>2/2*104480-K10</f>
        <v>-34578</v>
      </c>
      <c r="N10" s="83">
        <f>I10+I93+I99-(3/3*6110+4/4*3000)+(K10+K93+K99-3/3*916240*0-4/4*939058)</f>
        <v>0</v>
      </c>
      <c r="O10" s="3">
        <f aca="true" t="shared" si="1" ref="O10:T10">SUM(O4:O9)</f>
        <v>0</v>
      </c>
      <c r="P10" s="3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/>
      <c r="V10" s="12">
        <f>SUM(V4:V9)</f>
        <v>0</v>
      </c>
      <c r="W10" s="84"/>
      <c r="X10" s="18">
        <f>SUM(X4:X9)</f>
        <v>0</v>
      </c>
      <c r="Y10" s="21"/>
    </row>
    <row r="11" spans="1:22" ht="12.75">
      <c r="A11" s="1" t="s">
        <v>52</v>
      </c>
      <c r="B11" s="26">
        <f>480+20</f>
        <v>500</v>
      </c>
      <c r="C11" s="26">
        <f>426+93</f>
        <v>519</v>
      </c>
      <c r="D11" s="26">
        <f>(383.3+42.5)+93.5</f>
        <v>519.3</v>
      </c>
      <c r="E11" s="13">
        <f>500+100*0</f>
        <v>500</v>
      </c>
      <c r="I11" s="13">
        <f>SUM(E11:H11)</f>
        <v>500</v>
      </c>
      <c r="J11" s="11" t="s">
        <v>53</v>
      </c>
      <c r="K11" s="17">
        <f>95262.38*0+2/2*382709.18*0+3/3*424569.98*0+4/4*453228.38</f>
        <v>453228.38</v>
      </c>
      <c r="L11" s="20">
        <f>K11/(I11*1000)</f>
        <v>0.90645676</v>
      </c>
      <c r="N11" s="11"/>
      <c r="V11" s="13">
        <f>SUM(R11:U11)</f>
        <v>0</v>
      </c>
    </row>
    <row r="12" spans="1:14" ht="12.75">
      <c r="A12" s="1" t="s">
        <v>147</v>
      </c>
      <c r="J12" s="11"/>
      <c r="K12" s="17">
        <f>3/3*17880</f>
        <v>17880</v>
      </c>
      <c r="N12" s="11"/>
    </row>
    <row r="13" spans="1:22" ht="23.25">
      <c r="A13" s="1" t="s">
        <v>148</v>
      </c>
      <c r="E13" s="13">
        <f>500*0+100</f>
        <v>100</v>
      </c>
      <c r="I13" s="13">
        <f>SUM(E13:H13)</f>
        <v>100</v>
      </c>
      <c r="J13" s="11" t="s">
        <v>54</v>
      </c>
      <c r="K13" s="17">
        <f>(2653+473)*0+2/2*(5329+950)*0+3/3*(8474/8474*1427*0+4/4*1918+1028233/1028233*8005*0+4/4*10761)</f>
        <v>12679</v>
      </c>
      <c r="L13" s="20">
        <f aca="true" t="shared" si="2" ref="L13:L20">K13/(I13*1000)</f>
        <v>0.12679</v>
      </c>
      <c r="N13" s="11"/>
      <c r="V13" s="13">
        <f>SUM(R13:U13)</f>
        <v>0</v>
      </c>
    </row>
    <row r="14" spans="1:22" ht="12.75">
      <c r="A14" s="85" t="s">
        <v>4</v>
      </c>
      <c r="B14" s="86"/>
      <c r="C14" s="86">
        <v>90</v>
      </c>
      <c r="D14" s="86">
        <f>89.7</f>
        <v>89.7</v>
      </c>
      <c r="E14" s="87">
        <f>90*0</f>
        <v>0</v>
      </c>
      <c r="F14" s="87"/>
      <c r="G14" s="87"/>
      <c r="H14" s="87"/>
      <c r="I14" s="87">
        <f>SUM(E14:H14)</f>
        <v>0</v>
      </c>
      <c r="N14" s="78" t="s">
        <v>97</v>
      </c>
      <c r="O14" s="79"/>
      <c r="P14" s="79"/>
      <c r="Q14" s="80"/>
      <c r="R14" s="80"/>
      <c r="S14" s="80"/>
      <c r="T14" s="80"/>
      <c r="U14" s="80"/>
      <c r="V14" s="80">
        <f>SUM(R14:U14)</f>
        <v>0</v>
      </c>
    </row>
    <row r="15" spans="1:25" s="30" customFormat="1" ht="12.75">
      <c r="A15" s="65" t="s">
        <v>142</v>
      </c>
      <c r="B15" s="3">
        <f aca="true" t="shared" si="3" ref="B15:G15">SUM(B11:B14)</f>
        <v>500</v>
      </c>
      <c r="C15" s="3">
        <f t="shared" si="3"/>
        <v>609</v>
      </c>
      <c r="D15" s="3">
        <f t="shared" si="3"/>
        <v>609</v>
      </c>
      <c r="E15" s="12">
        <f t="shared" si="3"/>
        <v>600</v>
      </c>
      <c r="F15" s="12">
        <f t="shared" si="3"/>
        <v>0</v>
      </c>
      <c r="G15" s="12">
        <f t="shared" si="3"/>
        <v>0</v>
      </c>
      <c r="H15" s="12"/>
      <c r="I15" s="12">
        <f>SUM(I11:I14)</f>
        <v>600</v>
      </c>
      <c r="J15" s="10"/>
      <c r="K15" s="18">
        <f>SUM(K11:K14)</f>
        <v>483787.38</v>
      </c>
      <c r="L15" s="21">
        <f>K15/(I15*1000)</f>
        <v>0.8063123</v>
      </c>
      <c r="M15" s="82">
        <f>2/2*388988.18-K15</f>
        <v>-94799.20000000001</v>
      </c>
      <c r="N15" s="83">
        <f>I15-3/3*600+(K15-3/3*451881.98*0-4/4*483787.38)</f>
        <v>0</v>
      </c>
      <c r="O15" s="3">
        <f aca="true" t="shared" si="4" ref="O15:T15">SUM(O11:O14)</f>
        <v>0</v>
      </c>
      <c r="P15" s="3">
        <f t="shared" si="4"/>
        <v>0</v>
      </c>
      <c r="Q15" s="12">
        <f t="shared" si="4"/>
        <v>0</v>
      </c>
      <c r="R15" s="12">
        <f t="shared" si="4"/>
        <v>0</v>
      </c>
      <c r="S15" s="12">
        <f t="shared" si="4"/>
        <v>0</v>
      </c>
      <c r="T15" s="12">
        <f t="shared" si="4"/>
        <v>0</v>
      </c>
      <c r="U15" s="12"/>
      <c r="V15" s="12">
        <f>SUM(V11:V14)</f>
        <v>0</v>
      </c>
      <c r="W15" s="84"/>
      <c r="X15" s="18">
        <f>SUM(X11:X14)</f>
        <v>0</v>
      </c>
      <c r="Y15" s="21"/>
    </row>
    <row r="16" spans="1:25" s="30" customFormat="1" ht="12.75">
      <c r="A16" s="1" t="s">
        <v>5</v>
      </c>
      <c r="B16" s="26">
        <v>1500</v>
      </c>
      <c r="C16" s="26">
        <v>1523</v>
      </c>
      <c r="D16" s="26">
        <v>1523.4</v>
      </c>
      <c r="E16" s="27">
        <f>1505*1.05-0.25</f>
        <v>1580</v>
      </c>
      <c r="F16" s="27"/>
      <c r="G16" s="27"/>
      <c r="H16" s="27"/>
      <c r="I16" s="16">
        <f>SUM(E16:H16)</f>
        <v>1580</v>
      </c>
      <c r="J16" s="88" t="s">
        <v>29</v>
      </c>
      <c r="K16" s="89">
        <f>2/2*264000*0+3/3*396000</f>
        <v>396000</v>
      </c>
      <c r="L16" s="20">
        <f t="shared" si="2"/>
        <v>0.25063291139240507</v>
      </c>
      <c r="M16" s="47"/>
      <c r="N16" s="90" t="s">
        <v>101</v>
      </c>
      <c r="O16" s="26">
        <v>343</v>
      </c>
      <c r="P16" s="26">
        <v>348</v>
      </c>
      <c r="Q16" s="13">
        <v>348</v>
      </c>
      <c r="R16" s="27">
        <f>250*1397/1000+0.75</f>
        <v>350</v>
      </c>
      <c r="S16" s="27"/>
      <c r="T16" s="27"/>
      <c r="U16" s="27"/>
      <c r="V16" s="16">
        <f>SUM(R16:U16)</f>
        <v>350</v>
      </c>
      <c r="W16" s="29" t="s">
        <v>44</v>
      </c>
      <c r="X16" s="91">
        <f>R16*1000*4/12-166.666667*4</f>
        <v>115999.99999866667</v>
      </c>
      <c r="Y16" s="20">
        <f>X16/(V16*1000)</f>
        <v>0.3314285714247619</v>
      </c>
    </row>
    <row r="17" spans="1:25" s="30" customFormat="1" ht="12.75">
      <c r="A17" s="25" t="s">
        <v>87</v>
      </c>
      <c r="B17" s="26"/>
      <c r="C17" s="26"/>
      <c r="D17" s="26"/>
      <c r="E17" s="27"/>
      <c r="F17" s="27"/>
      <c r="G17" s="27"/>
      <c r="H17" s="27"/>
      <c r="I17" s="16"/>
      <c r="J17" s="88"/>
      <c r="K17" s="89">
        <f>2/2*69084*0+4/4*89854</f>
        <v>89854</v>
      </c>
      <c r="L17" s="20"/>
      <c r="M17" s="47"/>
      <c r="N17" s="11"/>
      <c r="O17" s="26"/>
      <c r="P17" s="26"/>
      <c r="Q17" s="13"/>
      <c r="R17" s="27"/>
      <c r="S17" s="27"/>
      <c r="T17" s="27"/>
      <c r="U17" s="27"/>
      <c r="V17" s="16"/>
      <c r="W17" s="29"/>
      <c r="X17" s="40"/>
      <c r="Y17" s="20"/>
    </row>
    <row r="18" spans="1:25" s="30" customFormat="1" ht="24">
      <c r="A18" s="1" t="s">
        <v>84</v>
      </c>
      <c r="B18" s="26">
        <v>3085</v>
      </c>
      <c r="C18" s="26">
        <v>3318</v>
      </c>
      <c r="D18" s="26">
        <v>3317.6</v>
      </c>
      <c r="E18" s="27">
        <f>3096*1.05-0.8+500</f>
        <v>3750</v>
      </c>
      <c r="F18" s="27"/>
      <c r="G18" s="16">
        <f>3/3*80+5/5*10</f>
        <v>90</v>
      </c>
      <c r="H18" s="27"/>
      <c r="I18" s="16">
        <f aca="true" t="shared" si="5" ref="I18:I43">SUM(E18:H18)</f>
        <v>3840</v>
      </c>
      <c r="J18" s="28" t="s">
        <v>50</v>
      </c>
      <c r="K18" s="89">
        <f>2/2*625000*0+3/3*937500</f>
        <v>937500</v>
      </c>
      <c r="L18" s="20">
        <f t="shared" si="2"/>
        <v>0.244140625</v>
      </c>
      <c r="M18" s="47"/>
      <c r="N18" s="90" t="s">
        <v>101</v>
      </c>
      <c r="O18" s="26">
        <v>733</v>
      </c>
      <c r="P18" s="26">
        <v>744</v>
      </c>
      <c r="Q18" s="13">
        <v>744</v>
      </c>
      <c r="R18" s="27">
        <f>537*1397/1000-0.189</f>
        <v>750</v>
      </c>
      <c r="S18" s="27"/>
      <c r="T18" s="27"/>
      <c r="U18" s="27"/>
      <c r="V18" s="16">
        <f aca="true" t="shared" si="6" ref="V18:V23">SUM(R18:U18)</f>
        <v>750</v>
      </c>
      <c r="W18" s="29" t="s">
        <v>45</v>
      </c>
      <c r="X18" s="91">
        <f>R18*1000*4/12+500*4</f>
        <v>252000</v>
      </c>
      <c r="Y18" s="20">
        <f>X18/(V18*1000)</f>
        <v>0.336</v>
      </c>
    </row>
    <row r="19" spans="1:23" ht="12.75">
      <c r="A19" s="25" t="s">
        <v>55</v>
      </c>
      <c r="E19" s="27"/>
      <c r="F19" s="27"/>
      <c r="G19" s="27"/>
      <c r="H19" s="27"/>
      <c r="I19" s="16">
        <f t="shared" si="5"/>
        <v>0</v>
      </c>
      <c r="J19" s="28"/>
      <c r="K19" s="89">
        <f>127837.17*0+2/2*658734*0+3/3*1097009.44*0+4/4*1309672.42-K18</f>
        <v>372172.4199999999</v>
      </c>
      <c r="N19" s="11"/>
      <c r="R19" s="27"/>
      <c r="S19" s="27"/>
      <c r="T19" s="27"/>
      <c r="U19" s="27"/>
      <c r="V19" s="16">
        <f t="shared" si="6"/>
        <v>0</v>
      </c>
      <c r="W19" s="29"/>
    </row>
    <row r="20" spans="1:22" ht="12.75">
      <c r="A20" s="1" t="s">
        <v>6</v>
      </c>
      <c r="B20" s="26">
        <v>1000</v>
      </c>
      <c r="C20" s="26">
        <v>1165</v>
      </c>
      <c r="D20" s="26">
        <v>1165.9</v>
      </c>
      <c r="E20" s="27">
        <f>1000*1.05</f>
        <v>1050</v>
      </c>
      <c r="F20" s="27"/>
      <c r="G20" s="27"/>
      <c r="H20" s="27"/>
      <c r="I20" s="16">
        <f t="shared" si="5"/>
        <v>1050</v>
      </c>
      <c r="J20" s="28" t="s">
        <v>30</v>
      </c>
      <c r="K20" s="89">
        <f>2/2*175000*0+3/3*262500</f>
        <v>262500</v>
      </c>
      <c r="L20" s="20">
        <f t="shared" si="2"/>
        <v>0.25</v>
      </c>
      <c r="N20" s="28"/>
      <c r="O20" s="92"/>
      <c r="P20" s="92"/>
      <c r="Q20" s="93"/>
      <c r="R20" s="93"/>
      <c r="S20" s="27"/>
      <c r="T20" s="27"/>
      <c r="U20" s="27"/>
      <c r="V20" s="16">
        <f t="shared" si="6"/>
        <v>0</v>
      </c>
    </row>
    <row r="21" spans="1:22" ht="12.75">
      <c r="A21" s="25" t="s">
        <v>58</v>
      </c>
      <c r="E21" s="27"/>
      <c r="F21" s="27"/>
      <c r="G21" s="27"/>
      <c r="H21" s="27"/>
      <c r="I21" s="16">
        <f t="shared" si="5"/>
        <v>0</v>
      </c>
      <c r="J21" s="28"/>
      <c r="K21" s="89">
        <f>-6202.27*0+2/2*175000*0+3/3*288039.64-K20</f>
        <v>25539.640000000014</v>
      </c>
      <c r="N21" s="28"/>
      <c r="O21" s="92"/>
      <c r="P21" s="92"/>
      <c r="Q21" s="93"/>
      <c r="R21" s="93"/>
      <c r="S21" s="27"/>
      <c r="T21" s="27"/>
      <c r="U21" s="27"/>
      <c r="V21" s="16">
        <f t="shared" si="6"/>
        <v>0</v>
      </c>
    </row>
    <row r="22" spans="1:22" ht="12.75">
      <c r="A22" s="1" t="s">
        <v>57</v>
      </c>
      <c r="E22" s="27"/>
      <c r="F22" s="27"/>
      <c r="G22" s="27"/>
      <c r="H22" s="27"/>
      <c r="I22" s="16">
        <f t="shared" si="5"/>
        <v>0</v>
      </c>
      <c r="J22" s="28"/>
      <c r="K22" s="89">
        <f>-8499.23*0*2/2+3/3*34998.04*0+4/4*77236.32</f>
        <v>77236.32</v>
      </c>
      <c r="N22" s="28"/>
      <c r="O22" s="92"/>
      <c r="P22" s="92"/>
      <c r="Q22" s="93"/>
      <c r="R22" s="93"/>
      <c r="S22" s="27"/>
      <c r="T22" s="27"/>
      <c r="U22" s="27"/>
      <c r="V22" s="16">
        <f t="shared" si="6"/>
        <v>0</v>
      </c>
    </row>
    <row r="23" spans="1:22" ht="12.75">
      <c r="A23" s="1" t="s">
        <v>7</v>
      </c>
      <c r="C23" s="26">
        <v>140</v>
      </c>
      <c r="D23" s="26">
        <v>140</v>
      </c>
      <c r="I23" s="13">
        <f t="shared" si="5"/>
        <v>0</v>
      </c>
      <c r="V23" s="13">
        <f t="shared" si="6"/>
        <v>0</v>
      </c>
    </row>
    <row r="24" spans="1:25" s="30" customFormat="1" ht="12.75">
      <c r="A24" s="65" t="s">
        <v>140</v>
      </c>
      <c r="B24" s="3">
        <f aca="true" t="shared" si="7" ref="B24:G24">SUM(B16:B23)</f>
        <v>5585</v>
      </c>
      <c r="C24" s="3">
        <f t="shared" si="7"/>
        <v>6146</v>
      </c>
      <c r="D24" s="3">
        <f t="shared" si="7"/>
        <v>6146.9</v>
      </c>
      <c r="E24" s="12">
        <f t="shared" si="7"/>
        <v>6380</v>
      </c>
      <c r="F24" s="12">
        <f t="shared" si="7"/>
        <v>0</v>
      </c>
      <c r="G24" s="12">
        <f t="shared" si="7"/>
        <v>90</v>
      </c>
      <c r="H24" s="12"/>
      <c r="I24" s="12">
        <f>SUM(I16:I23)</f>
        <v>6470</v>
      </c>
      <c r="J24" s="81"/>
      <c r="K24" s="18">
        <f>SUM(K16:K23)</f>
        <v>2160802.38</v>
      </c>
      <c r="L24" s="21">
        <f>K24/(I24*1000)</f>
        <v>0.3339725471406491</v>
      </c>
      <c r="M24" s="82">
        <f>2/2*1166818-K24</f>
        <v>-993984.3799999999</v>
      </c>
      <c r="N24" s="83">
        <f>I24+I97+4/4*(I90+I100+I101+I102)-3/3*6559*0-4/4*13719.6+(K24+K97-3/3*1885131.12*0-4/4*2160802.38)</f>
        <v>10</v>
      </c>
      <c r="O24" s="3">
        <f aca="true" t="shared" si="8" ref="O24:T24">SUM(O16:O23)</f>
        <v>1076</v>
      </c>
      <c r="P24" s="3">
        <f t="shared" si="8"/>
        <v>1092</v>
      </c>
      <c r="Q24" s="12">
        <f t="shared" si="8"/>
        <v>1092</v>
      </c>
      <c r="R24" s="12">
        <f t="shared" si="8"/>
        <v>1100</v>
      </c>
      <c r="S24" s="12">
        <f t="shared" si="8"/>
        <v>0</v>
      </c>
      <c r="T24" s="12">
        <f t="shared" si="8"/>
        <v>0</v>
      </c>
      <c r="U24" s="12"/>
      <c r="V24" s="12">
        <f>SUM(V16:V23)</f>
        <v>1100</v>
      </c>
      <c r="W24" s="84"/>
      <c r="X24" s="18">
        <f>SUM(X16:X23)</f>
        <v>367999.9999986667</v>
      </c>
      <c r="Y24" s="21">
        <f>X24/(V24*1000)</f>
        <v>0.33454545454424245</v>
      </c>
    </row>
    <row r="25" spans="1:22" ht="12.75">
      <c r="A25" s="1" t="s">
        <v>64</v>
      </c>
      <c r="B25" s="26">
        <f>120+100</f>
        <v>220</v>
      </c>
      <c r="C25" s="94">
        <f>120+100+(254+577)</f>
        <v>1051</v>
      </c>
      <c r="D25" s="26">
        <f>373.6+677.1</f>
        <v>1050.7</v>
      </c>
      <c r="E25" s="13">
        <f>100+100*0</f>
        <v>100</v>
      </c>
      <c r="I25" s="13">
        <f t="shared" si="5"/>
        <v>100</v>
      </c>
      <c r="J25" s="11" t="s">
        <v>65</v>
      </c>
      <c r="K25" s="17">
        <f>6857.87*0+2/2*8732.47*0+3/3*26290.81*0+4/4*44123.35</f>
        <v>44123.35</v>
      </c>
      <c r="L25" s="20">
        <f aca="true" t="shared" si="9" ref="L25:L38">K25/(I25*1000)</f>
        <v>0.4412335</v>
      </c>
      <c r="N25" s="11"/>
      <c r="V25" s="13">
        <f aca="true" t="shared" si="10" ref="V25:V32">SUM(R25:U25)</f>
        <v>0</v>
      </c>
    </row>
    <row r="26" spans="1:22" ht="12.75">
      <c r="A26" s="1" t="s">
        <v>96</v>
      </c>
      <c r="B26" s="26">
        <f>120+100</f>
        <v>220</v>
      </c>
      <c r="C26" s="94">
        <f>120+100+(254+577)</f>
        <v>1051</v>
      </c>
      <c r="D26" s="26">
        <f>373.6+677.1</f>
        <v>1050.7</v>
      </c>
      <c r="E26" s="13">
        <f>100*0+100</f>
        <v>100</v>
      </c>
      <c r="I26" s="13">
        <f t="shared" si="5"/>
        <v>100</v>
      </c>
      <c r="J26" s="11" t="s">
        <v>63</v>
      </c>
      <c r="K26" s="17">
        <f>6979.35*0+2/2*32434.61*0+3/3*120963.59*0+4/4*93476.39</f>
        <v>93476.39</v>
      </c>
      <c r="L26" s="20">
        <f t="shared" si="9"/>
        <v>0.9347639</v>
      </c>
      <c r="N26" s="11"/>
      <c r="V26" s="13">
        <f t="shared" si="10"/>
        <v>0</v>
      </c>
    </row>
    <row r="27" spans="1:22" ht="12.75">
      <c r="A27" s="1" t="s">
        <v>8</v>
      </c>
      <c r="B27" s="26">
        <v>350</v>
      </c>
      <c r="C27" s="26">
        <v>350</v>
      </c>
      <c r="D27" s="26">
        <v>351.2</v>
      </c>
      <c r="E27" s="27">
        <f>12*121*(12*20)/1000+1.52</f>
        <v>350</v>
      </c>
      <c r="F27" s="27"/>
      <c r="G27" s="27"/>
      <c r="H27" s="27"/>
      <c r="I27" s="16">
        <f t="shared" si="5"/>
        <v>350</v>
      </c>
      <c r="J27" s="28" t="s">
        <v>31</v>
      </c>
      <c r="K27" s="89">
        <f>(23316/12-1943+1943*12)*0+2/2*51024/12*0+(1943+2309+3/3*2218+4/4*2527)*12</f>
        <v>107964</v>
      </c>
      <c r="L27" s="20">
        <f t="shared" si="9"/>
        <v>0.3084685714285714</v>
      </c>
      <c r="N27" s="28">
        <f>(77640*0+4/4*107964-K27)/12</f>
        <v>0</v>
      </c>
      <c r="O27" s="92"/>
      <c r="P27" s="92"/>
      <c r="Q27" s="93"/>
      <c r="R27" s="93"/>
      <c r="S27" s="27"/>
      <c r="T27" s="27"/>
      <c r="U27" s="27"/>
      <c r="V27" s="16">
        <f t="shared" si="10"/>
        <v>0</v>
      </c>
    </row>
    <row r="28" spans="1:25" s="30" customFormat="1" ht="12.75">
      <c r="A28" s="1" t="s">
        <v>9</v>
      </c>
      <c r="B28" s="26">
        <v>2330</v>
      </c>
      <c r="C28" s="94">
        <f>2410-301</f>
        <v>2109</v>
      </c>
      <c r="D28" s="26">
        <v>1697.6</v>
      </c>
      <c r="E28" s="27">
        <f>2330-1432+1548</f>
        <v>2446</v>
      </c>
      <c r="F28" s="27"/>
      <c r="G28" s="27"/>
      <c r="H28" s="27"/>
      <c r="I28" s="54">
        <f t="shared" si="5"/>
        <v>2446</v>
      </c>
      <c r="J28" s="28" t="s">
        <v>32</v>
      </c>
      <c r="K28" s="89">
        <f>26404.65*0+2/2*190984.75*0+3/3*468140.99*0+4/4*722345.11+9021/9021*(599.55*0+2/2*598.54*0+3/3*605.28*0*4/4)+43512/43512*(36*0+2/2*3788*0+3/3*7540*0+4/4*69)</f>
        <v>722414.11</v>
      </c>
      <c r="L28" s="20">
        <f t="shared" si="9"/>
        <v>0.2953450981193786</v>
      </c>
      <c r="M28" s="47"/>
      <c r="N28" s="28"/>
      <c r="O28" s="95">
        <v>480</v>
      </c>
      <c r="P28" s="95">
        <v>480</v>
      </c>
      <c r="Q28" s="96">
        <v>480</v>
      </c>
      <c r="R28" s="27">
        <f>480*1.05-4</f>
        <v>500</v>
      </c>
      <c r="S28" s="27"/>
      <c r="T28" s="27"/>
      <c r="U28" s="97"/>
      <c r="V28" s="16">
        <f t="shared" si="10"/>
        <v>500</v>
      </c>
      <c r="W28" s="89" t="s">
        <v>46</v>
      </c>
      <c r="X28" s="40">
        <f>34775+2/2*38086+3/3*35001+4/4*48518</f>
        <v>156380</v>
      </c>
      <c r="Y28" s="20">
        <f>X28/(V28*1000)</f>
        <v>0.31276</v>
      </c>
    </row>
    <row r="29" spans="1:24" ht="12.75">
      <c r="A29" s="1" t="s">
        <v>10</v>
      </c>
      <c r="C29" s="26">
        <v>63</v>
      </c>
      <c r="D29" s="26">
        <v>62.6</v>
      </c>
      <c r="E29" s="14">
        <v>50</v>
      </c>
      <c r="F29" s="14"/>
      <c r="G29" s="14"/>
      <c r="H29" s="14"/>
      <c r="I29" s="14">
        <f t="shared" si="5"/>
        <v>50</v>
      </c>
      <c r="K29" s="17">
        <f>3712*0+2/2*8188*0+3/3*13124*0+4/4*17748</f>
        <v>17748</v>
      </c>
      <c r="L29" s="20">
        <f t="shared" si="9"/>
        <v>0.35496</v>
      </c>
      <c r="N29" s="64" t="s">
        <v>106</v>
      </c>
      <c r="O29" s="98"/>
      <c r="P29" s="98"/>
      <c r="Q29" s="14"/>
      <c r="R29" s="14"/>
      <c r="S29" s="14"/>
      <c r="T29" s="14"/>
      <c r="V29" s="13">
        <f t="shared" si="10"/>
        <v>0</v>
      </c>
      <c r="X29" s="40">
        <f>(-69+1873)*0+2/2*(71/71*9431+82/82*1855+85/85*17479-28765)+3/3*(71/71*1431+85/85*-4431+3000)+4/4*(71/71*5481+85/85*-555)</f>
        <v>4926</v>
      </c>
    </row>
    <row r="30" spans="1:22" ht="12.75">
      <c r="A30" s="1" t="s">
        <v>11</v>
      </c>
      <c r="C30" s="26">
        <f>8+34</f>
        <v>42</v>
      </c>
      <c r="D30" s="26">
        <f>7.7+33.7</f>
        <v>41.400000000000006</v>
      </c>
      <c r="E30" s="14">
        <v>30</v>
      </c>
      <c r="F30" s="14"/>
      <c r="G30" s="14"/>
      <c r="H30" s="14"/>
      <c r="I30" s="14">
        <f t="shared" si="5"/>
        <v>30</v>
      </c>
      <c r="K30" s="17">
        <f>307*0+2/2*433*0+3/3*2003*0+4/4*3188</f>
        <v>3188</v>
      </c>
      <c r="L30" s="20">
        <f t="shared" si="9"/>
        <v>0.10626666666666666</v>
      </c>
      <c r="O30" s="98"/>
      <c r="P30" s="98"/>
      <c r="Q30" s="14"/>
      <c r="R30" s="14"/>
      <c r="S30" s="14"/>
      <c r="T30" s="14"/>
      <c r="V30" s="13">
        <f t="shared" si="10"/>
        <v>0</v>
      </c>
    </row>
    <row r="31" spans="1:22" ht="12.75">
      <c r="A31" s="1" t="s">
        <v>12</v>
      </c>
      <c r="C31" s="26">
        <v>6</v>
      </c>
      <c r="D31" s="26">
        <v>5.8</v>
      </c>
      <c r="E31" s="14"/>
      <c r="F31" s="14"/>
      <c r="G31" s="14"/>
      <c r="H31" s="14"/>
      <c r="I31" s="14">
        <f t="shared" si="5"/>
        <v>0</v>
      </c>
      <c r="O31" s="98"/>
      <c r="P31" s="98"/>
      <c r="Q31" s="14"/>
      <c r="R31" s="14"/>
      <c r="S31" s="14"/>
      <c r="T31" s="14"/>
      <c r="V31" s="13">
        <f t="shared" si="10"/>
        <v>0</v>
      </c>
    </row>
    <row r="32" spans="1:22" ht="12.75">
      <c r="A32" s="1" t="s">
        <v>13</v>
      </c>
      <c r="C32" s="26">
        <f>157+25</f>
        <v>182</v>
      </c>
      <c r="D32" s="26">
        <f>126.9+25</f>
        <v>151.9</v>
      </c>
      <c r="E32" s="14">
        <f>100+0</f>
        <v>100</v>
      </c>
      <c r="F32" s="14"/>
      <c r="G32" s="14"/>
      <c r="H32" s="14"/>
      <c r="I32" s="14">
        <f t="shared" si="5"/>
        <v>100</v>
      </c>
      <c r="K32" s="17">
        <f>2/2*3000*0+2412/2412*(5450*0+2/2*8268)+3/3*50572*0+4/4*(7642+4351/4351*12550)</f>
        <v>28460</v>
      </c>
      <c r="L32" s="20">
        <f t="shared" si="9"/>
        <v>0.2846</v>
      </c>
      <c r="N32" s="10">
        <f>12550/250</f>
        <v>50.2</v>
      </c>
      <c r="O32" s="98"/>
      <c r="P32" s="98"/>
      <c r="Q32" s="14"/>
      <c r="R32" s="14"/>
      <c r="S32" s="14"/>
      <c r="T32" s="14"/>
      <c r="V32" s="13">
        <f t="shared" si="10"/>
        <v>0</v>
      </c>
    </row>
    <row r="33" spans="1:26" s="100" customFormat="1" ht="12.75">
      <c r="A33" s="44" t="s">
        <v>137</v>
      </c>
      <c r="B33" s="3">
        <f aca="true" t="shared" si="11" ref="B33:G33">SUM(B25:B32)</f>
        <v>3120</v>
      </c>
      <c r="C33" s="3">
        <f t="shared" si="11"/>
        <v>4854</v>
      </c>
      <c r="D33" s="3">
        <f t="shared" si="11"/>
        <v>4411.9</v>
      </c>
      <c r="E33" s="52">
        <f t="shared" si="11"/>
        <v>3176</v>
      </c>
      <c r="F33" s="52">
        <f t="shared" si="11"/>
        <v>0</v>
      </c>
      <c r="G33" s="52">
        <f t="shared" si="11"/>
        <v>0</v>
      </c>
      <c r="H33" s="52"/>
      <c r="I33" s="52">
        <f>SUM(I25:I32)</f>
        <v>3176</v>
      </c>
      <c r="J33" s="81"/>
      <c r="K33" s="99">
        <f>SUM(K25:K32)</f>
        <v>1017373.85</v>
      </c>
      <c r="L33" s="21">
        <f>K33/(I33*1000)</f>
        <v>0.3203318167506297</v>
      </c>
      <c r="M33" s="82">
        <f>2/2*3823019.37-(K33+K84+K85)</f>
        <v>-4727652.4799999995</v>
      </c>
      <c r="N33" s="83">
        <f>I33+I84+I85+I86+I96-3/3*25986+(K33+K96+K84+K85+K86-3/3*6397591.67*0-4/4*8586871.85)</f>
        <v>0</v>
      </c>
      <c r="O33" s="53">
        <f aca="true" t="shared" si="12" ref="O33:T33">SUM(O25:O32)</f>
        <v>480</v>
      </c>
      <c r="P33" s="53">
        <f t="shared" si="12"/>
        <v>480</v>
      </c>
      <c r="Q33" s="52">
        <f t="shared" si="12"/>
        <v>480</v>
      </c>
      <c r="R33" s="52">
        <f t="shared" si="12"/>
        <v>500</v>
      </c>
      <c r="S33" s="52">
        <f t="shared" si="12"/>
        <v>0</v>
      </c>
      <c r="T33" s="52">
        <f t="shared" si="12"/>
        <v>0</v>
      </c>
      <c r="U33" s="12"/>
      <c r="V33" s="12">
        <f>SUM(V25:V32)</f>
        <v>500</v>
      </c>
      <c r="W33" s="84"/>
      <c r="X33" s="18">
        <f>SUM(X25:X32)</f>
        <v>161306</v>
      </c>
      <c r="Y33" s="21">
        <f>X33/(V33*1000)</f>
        <v>0.322612</v>
      </c>
      <c r="Z33" s="82">
        <f>2/2*5001626-(X33+X84+X85)</f>
        <v>-3279680</v>
      </c>
    </row>
    <row r="34" spans="1:24" ht="12.75">
      <c r="A34" s="1" t="s">
        <v>14</v>
      </c>
      <c r="B34" s="26">
        <v>622</v>
      </c>
      <c r="C34" s="26">
        <v>622</v>
      </c>
      <c r="D34" s="26">
        <v>604.1</v>
      </c>
      <c r="E34" s="27">
        <f>(622*1.2+3.6-750)+622-255+493</f>
        <v>860</v>
      </c>
      <c r="F34" s="27"/>
      <c r="G34" s="27"/>
      <c r="H34" s="27"/>
      <c r="I34" s="54">
        <f t="shared" si="5"/>
        <v>860</v>
      </c>
      <c r="J34" s="28" t="s">
        <v>33</v>
      </c>
      <c r="K34" s="89">
        <f>13826.05*0+2/2*71671.05*0+3/3*176340.05*0+4/4*166891.55</f>
        <v>166891.55</v>
      </c>
      <c r="L34" s="20">
        <f t="shared" si="9"/>
        <v>0.1940599418604651</v>
      </c>
      <c r="N34" s="28"/>
      <c r="O34" s="95"/>
      <c r="P34" s="95"/>
      <c r="Q34" s="96"/>
      <c r="R34" s="96"/>
      <c r="S34" s="27"/>
      <c r="T34" s="27"/>
      <c r="U34" s="97"/>
      <c r="V34" s="16">
        <f aca="true" t="shared" si="13" ref="V34:V41">SUM(R34:U34)</f>
        <v>0</v>
      </c>
      <c r="X34" s="40">
        <f>1/1*(18101-17830)+2/2*(40127-39557)+3/3*(-841+2033)+4/4*(-2033+606)</f>
        <v>606</v>
      </c>
    </row>
    <row r="35" spans="1:25" s="30" customFormat="1" ht="12.75">
      <c r="A35" s="1" t="s">
        <v>15</v>
      </c>
      <c r="B35" s="26">
        <v>1828</v>
      </c>
      <c r="C35" s="26">
        <f>1828-40</f>
        <v>1788</v>
      </c>
      <c r="D35" s="26">
        <v>1764.1</v>
      </c>
      <c r="E35" s="27">
        <f>1828-984+1021</f>
        <v>1865</v>
      </c>
      <c r="F35" s="27"/>
      <c r="G35" s="27"/>
      <c r="H35" s="27"/>
      <c r="I35" s="54">
        <f t="shared" si="5"/>
        <v>1865</v>
      </c>
      <c r="J35" s="28" t="s">
        <v>34</v>
      </c>
      <c r="K35" s="89">
        <f>55490.16*0+2/2*186136.58*0+3/3*367090.02*0+4/4*585585.11-81/81*51700</f>
        <v>533885.11</v>
      </c>
      <c r="L35" s="20">
        <f t="shared" si="9"/>
        <v>0.28626547453083107</v>
      </c>
      <c r="M35" s="47"/>
      <c r="N35" s="28"/>
      <c r="O35" s="95">
        <v>130</v>
      </c>
      <c r="P35" s="95">
        <v>130</v>
      </c>
      <c r="Q35" s="96">
        <v>130</v>
      </c>
      <c r="R35" s="96">
        <v>130</v>
      </c>
      <c r="S35" s="27"/>
      <c r="T35" s="27"/>
      <c r="U35" s="97"/>
      <c r="V35" s="16">
        <f t="shared" si="13"/>
        <v>130</v>
      </c>
      <c r="W35" s="8"/>
      <c r="X35" s="40">
        <f>16875+2/2*16238+4/4*24509</f>
        <v>57622</v>
      </c>
      <c r="Y35" s="20">
        <f>X35/(V35*1000)</f>
        <v>0.44324615384615385</v>
      </c>
    </row>
    <row r="36" spans="1:24" ht="12.75">
      <c r="A36" s="1" t="s">
        <v>16</v>
      </c>
      <c r="B36" s="26">
        <v>572</v>
      </c>
      <c r="C36" s="26">
        <f>632+560</f>
        <v>1192</v>
      </c>
      <c r="D36" s="26">
        <v>1185.9</v>
      </c>
      <c r="E36" s="27">
        <f>(572*1.2+13.6-700)+572-215+353</f>
        <v>710</v>
      </c>
      <c r="F36" s="27"/>
      <c r="G36" s="27"/>
      <c r="H36" s="27"/>
      <c r="I36" s="54">
        <f t="shared" si="5"/>
        <v>710</v>
      </c>
      <c r="J36" s="28" t="s">
        <v>35</v>
      </c>
      <c r="K36" s="89">
        <f>6628.05*0+2/2*50078.05*0+3/3*175446.01*0+4/4*219083.05</f>
        <v>219083.05</v>
      </c>
      <c r="L36" s="20">
        <f t="shared" si="9"/>
        <v>0.308567676056338</v>
      </c>
      <c r="N36" s="28"/>
      <c r="O36" s="95"/>
      <c r="P36" s="95"/>
      <c r="Q36" s="96"/>
      <c r="R36" s="96"/>
      <c r="S36" s="27"/>
      <c r="T36" s="27"/>
      <c r="U36" s="97"/>
      <c r="V36" s="16">
        <f t="shared" si="13"/>
        <v>0</v>
      </c>
      <c r="X36" s="40">
        <f>2200+2/2*1000</f>
        <v>3200</v>
      </c>
    </row>
    <row r="37" spans="1:22" ht="12.75">
      <c r="A37" s="1" t="s">
        <v>136</v>
      </c>
      <c r="B37" s="26">
        <v>28</v>
      </c>
      <c r="C37" s="94">
        <f>28+10</f>
        <v>38</v>
      </c>
      <c r="D37" s="26">
        <v>37.7</v>
      </c>
      <c r="E37" s="27">
        <f>12+16*0</f>
        <v>12</v>
      </c>
      <c r="F37" s="27"/>
      <c r="G37" s="27"/>
      <c r="H37" s="27"/>
      <c r="I37" s="54">
        <f t="shared" si="5"/>
        <v>12</v>
      </c>
      <c r="J37" s="28" t="s">
        <v>36</v>
      </c>
      <c r="K37" s="89">
        <f>2/2*1000+3/3*1000+4/4*1000</f>
        <v>3000</v>
      </c>
      <c r="L37" s="20">
        <f t="shared" si="9"/>
        <v>0.25</v>
      </c>
      <c r="N37" s="28"/>
      <c r="O37" s="95"/>
      <c r="P37" s="95"/>
      <c r="Q37" s="96"/>
      <c r="R37" s="96"/>
      <c r="S37" s="27"/>
      <c r="T37" s="27"/>
      <c r="U37" s="27"/>
      <c r="V37" s="16">
        <f t="shared" si="13"/>
        <v>0</v>
      </c>
    </row>
    <row r="38" spans="1:25" s="30" customFormat="1" ht="12.75">
      <c r="A38" s="1" t="s">
        <v>135</v>
      </c>
      <c r="B38" s="26"/>
      <c r="C38" s="26">
        <f>(13-10)+(21+19)+(0+5)+0+(0+16)</f>
        <v>64</v>
      </c>
      <c r="D38" s="26">
        <f>3+40+5+0.4+15.5</f>
        <v>63.9</v>
      </c>
      <c r="E38" s="27">
        <f>12*0+16</f>
        <v>16</v>
      </c>
      <c r="F38" s="16"/>
      <c r="G38" s="16"/>
      <c r="H38" s="16"/>
      <c r="I38" s="16">
        <f t="shared" si="5"/>
        <v>16</v>
      </c>
      <c r="J38" s="11" t="s">
        <v>37</v>
      </c>
      <c r="K38" s="17">
        <f>2/2*-2826*0+4/4*-1693.12</f>
        <v>-1693.12</v>
      </c>
      <c r="L38" s="20">
        <f t="shared" si="9"/>
        <v>-0.10582</v>
      </c>
      <c r="M38" s="47"/>
      <c r="N38" s="11"/>
      <c r="O38" s="26">
        <v>140</v>
      </c>
      <c r="P38" s="26">
        <v>140</v>
      </c>
      <c r="Q38" s="13">
        <v>140</v>
      </c>
      <c r="R38" s="13">
        <v>140</v>
      </c>
      <c r="S38" s="13"/>
      <c r="T38" s="13"/>
      <c r="U38" s="13"/>
      <c r="V38" s="13">
        <f t="shared" si="13"/>
        <v>140</v>
      </c>
      <c r="W38" s="8"/>
      <c r="X38" s="40"/>
      <c r="Y38" s="20">
        <f>X38/(V38*1000)</f>
        <v>0</v>
      </c>
    </row>
    <row r="39" spans="1:25" s="30" customFormat="1" ht="12.75">
      <c r="A39" s="1" t="s">
        <v>17</v>
      </c>
      <c r="B39" s="26"/>
      <c r="C39" s="26">
        <f>(13-10)+(21+19)+(0+5)+0+(0+16)</f>
        <v>64</v>
      </c>
      <c r="D39" s="26">
        <f>3+40+5+0.4+15.5</f>
        <v>63.9</v>
      </c>
      <c r="E39" s="13">
        <f>35+60+40+50+150</f>
        <v>335</v>
      </c>
      <c r="F39" s="13"/>
      <c r="G39" s="13">
        <f>5/5*221</f>
        <v>221</v>
      </c>
      <c r="H39" s="13"/>
      <c r="I39" s="13">
        <f>SUM(E39:H39)</f>
        <v>556</v>
      </c>
      <c r="J39" s="11"/>
      <c r="K39" s="17"/>
      <c r="L39" s="20"/>
      <c r="M39" s="47"/>
      <c r="N39" s="11"/>
      <c r="O39" s="26"/>
      <c r="P39" s="26"/>
      <c r="Q39" s="13"/>
      <c r="R39" s="13"/>
      <c r="S39" s="13"/>
      <c r="T39" s="13"/>
      <c r="U39" s="13"/>
      <c r="V39" s="13"/>
      <c r="W39" s="8"/>
      <c r="X39" s="40"/>
      <c r="Y39" s="20"/>
    </row>
    <row r="40" spans="1:22" ht="12.75">
      <c r="A40" s="1" t="s">
        <v>18</v>
      </c>
      <c r="B40" s="26">
        <v>33200</v>
      </c>
      <c r="C40" s="101">
        <f>33200+(6186+(296+41)+1112/1112*153+5000)</f>
        <v>44876</v>
      </c>
      <c r="D40" s="101">
        <f>(39386.1+152.4)+(596-300)+5000</f>
        <v>44834.5</v>
      </c>
      <c r="E40" s="102"/>
      <c r="F40" s="102"/>
      <c r="G40" s="102"/>
      <c r="H40" s="102"/>
      <c r="I40" s="102">
        <f t="shared" si="5"/>
        <v>0</v>
      </c>
      <c r="K40" s="17">
        <f>38070*0+2/2*482096+3/3*678+4/4*946.44</f>
        <v>483720.44</v>
      </c>
      <c r="V40" s="13">
        <f t="shared" si="13"/>
        <v>0</v>
      </c>
    </row>
    <row r="41" spans="1:22" ht="12.75">
      <c r="A41" s="1" t="s">
        <v>3</v>
      </c>
      <c r="C41" s="26">
        <v>72</v>
      </c>
      <c r="D41" s="26">
        <f>64.9+7.1</f>
        <v>72</v>
      </c>
      <c r="I41" s="13">
        <f t="shared" si="5"/>
        <v>0</v>
      </c>
      <c r="K41" s="17">
        <f>38622*0+2/2*482096*0+3/3*482774*0+4/4*483720.44-K40</f>
        <v>0</v>
      </c>
      <c r="V41" s="13">
        <f t="shared" si="13"/>
        <v>0</v>
      </c>
    </row>
    <row r="42" spans="1:26" s="100" customFormat="1" ht="15" customHeight="1">
      <c r="A42" s="65" t="s">
        <v>138</v>
      </c>
      <c r="B42" s="3">
        <f aca="true" t="shared" si="14" ref="B42:G42">SUM(B34:B41)</f>
        <v>36250</v>
      </c>
      <c r="C42" s="3">
        <f t="shared" si="14"/>
        <v>48716</v>
      </c>
      <c r="D42" s="3">
        <f t="shared" si="14"/>
        <v>48626.1</v>
      </c>
      <c r="E42" s="12">
        <f t="shared" si="14"/>
        <v>3798</v>
      </c>
      <c r="F42" s="12">
        <f t="shared" si="14"/>
        <v>0</v>
      </c>
      <c r="G42" s="12">
        <f t="shared" si="14"/>
        <v>221</v>
      </c>
      <c r="H42" s="12"/>
      <c r="I42" s="12">
        <f>SUM(I34:I41)</f>
        <v>4019</v>
      </c>
      <c r="J42" s="81"/>
      <c r="K42" s="18">
        <f>SUM(K34:K41)</f>
        <v>1404887.03</v>
      </c>
      <c r="L42" s="21">
        <f>K42/(I42*1000)</f>
        <v>0.3495613411296342</v>
      </c>
      <c r="M42" s="82">
        <f>2/2*788155.68-K42</f>
        <v>-616731.35</v>
      </c>
      <c r="N42" s="83">
        <f>I42+I95-3/3*3798*0-4/4*3849.7+(K42+K95-3/3*1200824.08*0-4/4*1456587.03)</f>
        <v>221</v>
      </c>
      <c r="O42" s="3">
        <f aca="true" t="shared" si="15" ref="O42:T42">SUM(O34:O41)</f>
        <v>270</v>
      </c>
      <c r="P42" s="3">
        <f t="shared" si="15"/>
        <v>270</v>
      </c>
      <c r="Q42" s="12">
        <f t="shared" si="15"/>
        <v>270</v>
      </c>
      <c r="R42" s="12">
        <f t="shared" si="15"/>
        <v>270</v>
      </c>
      <c r="S42" s="12">
        <f t="shared" si="15"/>
        <v>0</v>
      </c>
      <c r="T42" s="12">
        <f t="shared" si="15"/>
        <v>0</v>
      </c>
      <c r="U42" s="12"/>
      <c r="V42" s="12">
        <f>SUM(V34:V41)</f>
        <v>270</v>
      </c>
      <c r="W42" s="84"/>
      <c r="X42" s="18">
        <f>SUM(X34:X41)</f>
        <v>61428</v>
      </c>
      <c r="Y42" s="21">
        <f>X42/(V42*1000)</f>
        <v>0.2275111111111111</v>
      </c>
      <c r="Z42" s="82">
        <f>2/2*37154-X42</f>
        <v>-24274</v>
      </c>
    </row>
    <row r="43" spans="1:22" ht="34.5" customHeight="1">
      <c r="A43" s="1" t="s">
        <v>19</v>
      </c>
      <c r="B43" s="26">
        <v>350</v>
      </c>
      <c r="C43" s="26">
        <v>350</v>
      </c>
      <c r="D43" s="26">
        <f>394.3-102+55.5</f>
        <v>347.8</v>
      </c>
      <c r="E43" s="13">
        <v>350</v>
      </c>
      <c r="I43" s="13">
        <f t="shared" si="5"/>
        <v>350</v>
      </c>
      <c r="K43" s="17">
        <f>14205.05*0+2/2*38597.05*0+3/3*149112.89*0+4/4*210488.05</f>
        <v>210488.05</v>
      </c>
      <c r="L43" s="20">
        <f>K43/(I43*1000)</f>
        <v>0.6013944285714286</v>
      </c>
      <c r="V43" s="13">
        <f>SUM(R43:U43)</f>
        <v>0</v>
      </c>
    </row>
    <row r="45" spans="1:25" s="30" customFormat="1" ht="15" customHeight="1">
      <c r="A45" s="65" t="s">
        <v>139</v>
      </c>
      <c r="B45" s="3">
        <f aca="true" t="shared" si="16" ref="B45:G45">SUM(B43:B44)</f>
        <v>350</v>
      </c>
      <c r="C45" s="3">
        <f t="shared" si="16"/>
        <v>350</v>
      </c>
      <c r="D45" s="3">
        <f t="shared" si="16"/>
        <v>347.8</v>
      </c>
      <c r="E45" s="12">
        <f t="shared" si="16"/>
        <v>350</v>
      </c>
      <c r="F45" s="12">
        <f t="shared" si="16"/>
        <v>0</v>
      </c>
      <c r="G45" s="12">
        <f t="shared" si="16"/>
        <v>0</v>
      </c>
      <c r="H45" s="12"/>
      <c r="I45" s="12">
        <f>SUM(I43:I44)</f>
        <v>350</v>
      </c>
      <c r="J45" s="81"/>
      <c r="K45" s="18">
        <f>SUM(K43:K44)</f>
        <v>210488.05</v>
      </c>
      <c r="L45" s="21">
        <f>K45/(I45*1000)</f>
        <v>0.6013944285714286</v>
      </c>
      <c r="M45" s="82">
        <f>2/2*38597.05-K45</f>
        <v>-171891</v>
      </c>
      <c r="N45" s="83">
        <f>I45-3/3*350+(K45-3/3*149112.89*0-4/4*210488.05)</f>
        <v>0</v>
      </c>
      <c r="O45" s="3">
        <f aca="true" t="shared" si="17" ref="O45:T45">SUM(O43:O44)</f>
        <v>0</v>
      </c>
      <c r="P45" s="3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/>
      <c r="V45" s="12">
        <f>SUM(V43:V44)</f>
        <v>0</v>
      </c>
      <c r="W45" s="84"/>
      <c r="X45" s="18">
        <f>SUM(X43:X44)</f>
        <v>0</v>
      </c>
      <c r="Y45" s="21"/>
    </row>
    <row r="46" spans="1:24" ht="12.75">
      <c r="A46" s="1" t="s">
        <v>21</v>
      </c>
      <c r="B46" s="26">
        <v>1000</v>
      </c>
      <c r="C46" s="26">
        <v>1000</v>
      </c>
      <c r="D46" s="26">
        <f>1000+864.6*0</f>
        <v>1000</v>
      </c>
      <c r="O46" s="26">
        <v>1000</v>
      </c>
      <c r="P46" s="26">
        <v>1000</v>
      </c>
      <c r="Q46" s="13">
        <v>1000</v>
      </c>
      <c r="X46" s="40">
        <f>2/2*107/107*179.61+3/3*426965.48</f>
        <v>427145.08999999997</v>
      </c>
    </row>
    <row r="47" spans="1:25" s="30" customFormat="1" ht="12.75">
      <c r="A47" s="1" t="s">
        <v>22</v>
      </c>
      <c r="B47" s="26"/>
      <c r="C47" s="101">
        <f>641+(2658*0+1139+1519)*0+1139+1519</f>
        <v>3299</v>
      </c>
      <c r="D47" s="103">
        <f>640.9</f>
        <v>640.9</v>
      </c>
      <c r="E47" s="27">
        <f>1000+8000</f>
        <v>9000</v>
      </c>
      <c r="F47" s="27"/>
      <c r="G47" s="27"/>
      <c r="H47" s="27"/>
      <c r="I47" s="16">
        <f>SUM(E47:H47)</f>
        <v>9000</v>
      </c>
      <c r="J47" s="28" t="s">
        <v>38</v>
      </c>
      <c r="K47" s="89">
        <f>174274*0+3/3*(2297248.6*0+4/4*(2282309+36121/36121*92640)+1517/1517*83372.92*0*4/4)</f>
        <v>2374949</v>
      </c>
      <c r="L47" s="20">
        <f aca="true" t="shared" si="18" ref="L47:L59">K47/(I47*1000)</f>
        <v>0.2638832222222222</v>
      </c>
      <c r="M47" s="47"/>
      <c r="N47" s="28"/>
      <c r="O47" s="92"/>
      <c r="P47" s="92"/>
      <c r="Q47" s="93"/>
      <c r="R47" s="27">
        <f>2008/2008*(14000*3/4*110%-11550*0-550)</f>
        <v>11000.000000000002</v>
      </c>
      <c r="S47" s="27"/>
      <c r="T47" s="27"/>
      <c r="U47" s="27"/>
      <c r="V47" s="16">
        <f>SUM(R47:U47)</f>
        <v>11000.000000000002</v>
      </c>
      <c r="W47" s="89" t="s">
        <v>76</v>
      </c>
      <c r="X47" s="40"/>
      <c r="Y47" s="20">
        <f>X47/(V47*1000)</f>
        <v>0</v>
      </c>
    </row>
    <row r="48" spans="1:22" ht="12.75">
      <c r="A48" s="1" t="s">
        <v>23</v>
      </c>
      <c r="B48" s="26">
        <v>6000</v>
      </c>
      <c r="C48" s="26">
        <f>6000+10</f>
        <v>6010</v>
      </c>
      <c r="D48" s="26">
        <f>6000+9.5</f>
        <v>6009.5</v>
      </c>
      <c r="E48" s="27">
        <f>6000*1.05</f>
        <v>6300</v>
      </c>
      <c r="F48" s="27"/>
      <c r="G48" s="27"/>
      <c r="H48" s="27"/>
      <c r="I48" s="16">
        <f>SUM(E48:H48)</f>
        <v>6300</v>
      </c>
      <c r="J48" s="28" t="s">
        <v>39</v>
      </c>
      <c r="K48" s="89">
        <f>3/3*1000000</f>
        <v>1000000</v>
      </c>
      <c r="L48" s="20">
        <f t="shared" si="18"/>
        <v>0.15873015873015872</v>
      </c>
      <c r="N48" s="28"/>
      <c r="O48" s="92"/>
      <c r="P48" s="92"/>
      <c r="Q48" s="93"/>
      <c r="R48" s="93"/>
      <c r="S48" s="27"/>
      <c r="T48" s="27"/>
      <c r="U48" s="27"/>
      <c r="V48" s="16">
        <f>SUM(R48:U48)</f>
        <v>0</v>
      </c>
    </row>
    <row r="49" spans="1:26" s="100" customFormat="1" ht="12.75">
      <c r="A49" s="2" t="s">
        <v>20</v>
      </c>
      <c r="B49" s="3">
        <f aca="true" t="shared" si="19" ref="B49:G49">SUM(B46:B48)</f>
        <v>7000</v>
      </c>
      <c r="C49" s="3">
        <f t="shared" si="19"/>
        <v>10309</v>
      </c>
      <c r="D49" s="3">
        <f t="shared" si="19"/>
        <v>7650.4</v>
      </c>
      <c r="E49" s="12">
        <f t="shared" si="19"/>
        <v>15300</v>
      </c>
      <c r="F49" s="12">
        <f t="shared" si="19"/>
        <v>0</v>
      </c>
      <c r="G49" s="12">
        <f t="shared" si="19"/>
        <v>0</v>
      </c>
      <c r="H49" s="12"/>
      <c r="I49" s="12">
        <f>SUM(I46:I48)</f>
        <v>15300</v>
      </c>
      <c r="J49" s="81"/>
      <c r="K49" s="18">
        <f>SUM(K46:K48)</f>
        <v>3374949</v>
      </c>
      <c r="L49" s="21">
        <f>K49/(I49*1000)</f>
        <v>0.2205849019607843</v>
      </c>
      <c r="M49" s="82">
        <f>2/2*174274-K49</f>
        <v>-3200675</v>
      </c>
      <c r="N49" s="83">
        <f>I49-3/3*15300+(K49-3/3*3380621.52*0-4/4*3374949)</f>
        <v>0</v>
      </c>
      <c r="O49" s="3">
        <f aca="true" t="shared" si="20" ref="O49:T49">SUM(O46:O48)</f>
        <v>1000</v>
      </c>
      <c r="P49" s="3">
        <f t="shared" si="20"/>
        <v>1000</v>
      </c>
      <c r="Q49" s="12">
        <f t="shared" si="20"/>
        <v>1000</v>
      </c>
      <c r="R49" s="12">
        <f t="shared" si="20"/>
        <v>11000.000000000002</v>
      </c>
      <c r="S49" s="12">
        <f t="shared" si="20"/>
        <v>0</v>
      </c>
      <c r="T49" s="12">
        <f t="shared" si="20"/>
        <v>0</v>
      </c>
      <c r="U49" s="12"/>
      <c r="V49" s="12">
        <f>SUM(V46:V48)</f>
        <v>11000.000000000002</v>
      </c>
      <c r="W49" s="84"/>
      <c r="X49" s="18">
        <f>SUM(X46:X48)</f>
        <v>427145.08999999997</v>
      </c>
      <c r="Y49" s="21">
        <f>X49/(V49*1000)</f>
        <v>0.03883137181818181</v>
      </c>
      <c r="Z49" s="82">
        <f>2/2*179.61-X49</f>
        <v>-426965.48</v>
      </c>
    </row>
    <row r="50" spans="1:24" ht="22.5">
      <c r="A50" s="1" t="s">
        <v>24</v>
      </c>
      <c r="B50" s="26">
        <v>2232</v>
      </c>
      <c r="C50" s="26">
        <v>2282</v>
      </c>
      <c r="D50" s="26">
        <f>2067.6*0+2160.8+44</f>
        <v>2204.8</v>
      </c>
      <c r="E50" s="27">
        <f>((174.28*12+48.64)+130-2270)+2232-2102+(2091+55)</f>
        <v>2276</v>
      </c>
      <c r="F50" s="27"/>
      <c r="G50" s="27"/>
      <c r="H50" s="27"/>
      <c r="I50" s="54">
        <f>SUM(E50:H50)</f>
        <v>2276</v>
      </c>
      <c r="J50" s="39" t="s">
        <v>41</v>
      </c>
      <c r="K50" s="104">
        <f>1587*0+2/2*178257*0+3/3*389589*0+4/4*550600</f>
        <v>550600</v>
      </c>
      <c r="L50" s="20">
        <f t="shared" si="18"/>
        <v>0.24191564147627417</v>
      </c>
      <c r="N50" s="105" t="s">
        <v>112</v>
      </c>
      <c r="O50" s="92">
        <v>300</v>
      </c>
      <c r="P50" s="92">
        <v>300</v>
      </c>
      <c r="Q50" s="93">
        <v>98.7</v>
      </c>
      <c r="R50" s="93">
        <v>0</v>
      </c>
      <c r="S50" s="27"/>
      <c r="T50" s="27"/>
      <c r="U50" s="27"/>
      <c r="V50" s="27"/>
      <c r="X50" s="40">
        <f>3/3*15065.16+(10/10)*52.06</f>
        <v>15117.22</v>
      </c>
    </row>
    <row r="51" spans="1:26" s="107" customFormat="1" ht="34.5" customHeight="1">
      <c r="A51" s="1" t="s">
        <v>25</v>
      </c>
      <c r="B51" s="26">
        <f>40136+0+0+16/16*408</f>
        <v>40544</v>
      </c>
      <c r="C51" s="101">
        <f>42224.3+0+0+408-1519/2*2+551-112/112*1139</f>
        <v>40525.3</v>
      </c>
      <c r="D51" s="103">
        <f>10754.9+7396.1+18378.9+16/16*299.4+585.5+383+627.2+1352.1</f>
        <v>39777.1</v>
      </c>
      <c r="E51" s="102">
        <f>18500+9756+20069+16/16*400-E52-E53-E54-E55</f>
        <v>17500</v>
      </c>
      <c r="F51" s="102"/>
      <c r="G51" s="102"/>
      <c r="H51" s="102"/>
      <c r="I51" s="102">
        <f aca="true" t="shared" si="21" ref="I51:I66">SUM(E51:H51)</f>
        <v>17500</v>
      </c>
      <c r="J51" s="11" t="s">
        <v>40</v>
      </c>
      <c r="K51" s="17">
        <f>720048.23*0+2/2*3938325.7*0+3/3*7258965.96*0+4/4*10593358.61-(81/81*32646+98216/98216*(920*0+4/4*1840))+(1/1)*(2/2*116486*0+3/3*236015)+(3/3)*(2/2*59478*0+3/3*204427*0+4/4*321556)+(107/107)*2/2*500*0*3/3+5410/5410*15912*0+11109/11109*6945*0+1517/1517*3456*0+(231220/231220*(3/3*1319+4/4*484700))+(10/10)*6310/6310*5163/5163*159.5-K52-K53-K54-K55</f>
        <v>3700492.1099999994</v>
      </c>
      <c r="L51" s="20">
        <f t="shared" si="18"/>
        <v>0.21145669199999997</v>
      </c>
      <c r="M51" s="47"/>
      <c r="N51" s="10">
        <f>6+10+40+10+12+20+10+35+3.7+3.9+10+6+12+7.5+8+15+20+8+8+10+9.6+35+30+5+10+10+15+40+25+5+10+10+10+5+10</f>
        <v>484.7</v>
      </c>
      <c r="O51" s="26"/>
      <c r="P51" s="26"/>
      <c r="Q51" s="13"/>
      <c r="R51" s="13"/>
      <c r="S51" s="13"/>
      <c r="T51" s="13"/>
      <c r="U51" s="13"/>
      <c r="V51" s="13"/>
      <c r="W51" s="8"/>
      <c r="X51" s="40"/>
      <c r="Y51" s="41"/>
      <c r="Z51" s="106">
        <f>X53+X18+X16-2/2*3264000</f>
        <v>3264000.0005003763</v>
      </c>
    </row>
    <row r="52" spans="1:25" s="30" customFormat="1" ht="12.75">
      <c r="A52" s="1" t="s">
        <v>88</v>
      </c>
      <c r="B52" s="26"/>
      <c r="C52" s="101"/>
      <c r="D52" s="103"/>
      <c r="E52" s="102">
        <f>(7409+593)*(1+0.09+0.25)+45+0.82+0.5+33</f>
        <v>10802</v>
      </c>
      <c r="F52" s="102"/>
      <c r="G52" s="102"/>
      <c r="H52" s="102"/>
      <c r="I52" s="102">
        <f t="shared" si="21"/>
        <v>10802</v>
      </c>
      <c r="J52" s="11"/>
      <c r="K52" s="17">
        <f>1/1*870533+2/2*999830+3/3*1106077</f>
        <v>2976440</v>
      </c>
      <c r="L52" s="20">
        <f t="shared" si="18"/>
        <v>0.2755452693945566</v>
      </c>
      <c r="M52" s="47"/>
      <c r="N52" s="17">
        <f>K52-1870363</f>
        <v>1106077</v>
      </c>
      <c r="O52" s="26"/>
      <c r="P52" s="26"/>
      <c r="Q52" s="13"/>
      <c r="R52" s="27"/>
      <c r="S52" s="16"/>
      <c r="T52" s="16"/>
      <c r="U52" s="16"/>
      <c r="V52" s="16"/>
      <c r="W52" s="108"/>
      <c r="X52" s="40"/>
      <c r="Y52" s="20"/>
    </row>
    <row r="53" spans="1:25" s="30" customFormat="1" ht="24.75" customHeight="1">
      <c r="A53" s="1" t="s">
        <v>89</v>
      </c>
      <c r="B53" s="26"/>
      <c r="C53" s="101"/>
      <c r="D53" s="103"/>
      <c r="E53" s="102">
        <f>(12342+988)*(1+0.09+0.25)+0.3+0.5</f>
        <v>17863</v>
      </c>
      <c r="F53" s="102"/>
      <c r="G53" s="102"/>
      <c r="H53" s="102"/>
      <c r="I53" s="102">
        <f t="shared" si="21"/>
        <v>17863</v>
      </c>
      <c r="J53" s="11"/>
      <c r="K53" s="17">
        <f>1/1*1592825+2/2*1577376+3/3*(1537789*0+1755489)-K54-K55</f>
        <v>4317645</v>
      </c>
      <c r="L53" s="20">
        <f t="shared" si="18"/>
        <v>0.24170883950064379</v>
      </c>
      <c r="M53" s="47"/>
      <c r="N53" s="90" t="s">
        <v>111</v>
      </c>
      <c r="O53" s="26">
        <v>9881</v>
      </c>
      <c r="P53" s="26">
        <v>8708</v>
      </c>
      <c r="Q53" s="13">
        <v>8708</v>
      </c>
      <c r="R53" s="27">
        <f>((16/16*8408*3024/100-257.92)+((22683*551.69709758-145.26)+36.145*157974.906662-3.001))/1000</f>
        <v>18478.000004705133</v>
      </c>
      <c r="S53" s="16"/>
      <c r="T53" s="16"/>
      <c r="U53" s="16"/>
      <c r="V53" s="16">
        <f>SUM(R53:U53)</f>
        <v>18478.000004705133</v>
      </c>
      <c r="W53" s="108" t="s">
        <v>75</v>
      </c>
      <c r="X53" s="91">
        <f>R53*1000*4/12+166.6664*4</f>
        <v>6160000.00050171</v>
      </c>
      <c r="Y53" s="20">
        <f>X53/(V53*1000)</f>
        <v>0.3333694122163201</v>
      </c>
    </row>
    <row r="54" spans="1:25" s="30" customFormat="1" ht="12.75">
      <c r="A54" s="1" t="s">
        <v>90</v>
      </c>
      <c r="B54" s="26"/>
      <c r="C54" s="101"/>
      <c r="D54" s="103"/>
      <c r="E54" s="102">
        <f>(1199+96)*(1+0.09+0.25)+0.45+0.25</f>
        <v>1736.0000000000002</v>
      </c>
      <c r="F54" s="102">
        <f>-F88+369.9*2</f>
        <v>0</v>
      </c>
      <c r="G54" s="102"/>
      <c r="H54" s="102"/>
      <c r="I54" s="102">
        <f t="shared" si="21"/>
        <v>1736.0000000000002</v>
      </c>
      <c r="J54" s="11"/>
      <c r="K54" s="17">
        <f>1/1*124116+2/2*135872+3/3*147557-(K88-3/3*920-4/4*920)</f>
        <v>407545</v>
      </c>
      <c r="L54" s="20">
        <f t="shared" si="18"/>
        <v>0.2347609447004608</v>
      </c>
      <c r="M54" s="47"/>
      <c r="N54" s="11"/>
      <c r="O54" s="26"/>
      <c r="P54" s="26"/>
      <c r="Q54" s="13"/>
      <c r="R54" s="27"/>
      <c r="S54" s="16"/>
      <c r="T54" s="16"/>
      <c r="U54" s="16"/>
      <c r="V54" s="16"/>
      <c r="W54" s="108"/>
      <c r="X54" s="40"/>
      <c r="Y54" s="20"/>
    </row>
    <row r="55" spans="1:25" s="30" customFormat="1" ht="12.75">
      <c r="A55" s="1" t="s">
        <v>91</v>
      </c>
      <c r="B55" s="26"/>
      <c r="C55" s="101"/>
      <c r="D55" s="103"/>
      <c r="E55" s="102">
        <f>(568+46)*(1+0.09+0.25)+0.74+0.5</f>
        <v>824.0000000000001</v>
      </c>
      <c r="F55" s="102">
        <f>-F89+226.1</f>
        <v>0</v>
      </c>
      <c r="G55" s="102"/>
      <c r="H55" s="102"/>
      <c r="I55" s="102">
        <f t="shared" si="21"/>
        <v>824.0000000000001</v>
      </c>
      <c r="J55" s="11"/>
      <c r="K55" s="17">
        <f>1/1*63343+2/2*67014+3/3*70143-K89</f>
        <v>200500</v>
      </c>
      <c r="L55" s="20">
        <f t="shared" si="18"/>
        <v>0.24332524271844658</v>
      </c>
      <c r="M55" s="47"/>
      <c r="N55" s="11"/>
      <c r="O55" s="26"/>
      <c r="P55" s="26"/>
      <c r="Q55" s="13"/>
      <c r="R55" s="27"/>
      <c r="S55" s="16"/>
      <c r="T55" s="16"/>
      <c r="U55" s="16"/>
      <c r="V55" s="16"/>
      <c r="W55" s="108"/>
      <c r="X55" s="40"/>
      <c r="Y55" s="20"/>
    </row>
    <row r="56" spans="1:25" s="30" customFormat="1" ht="12.75">
      <c r="A56" s="1" t="s">
        <v>94</v>
      </c>
      <c r="B56" s="26"/>
      <c r="C56" s="101"/>
      <c r="D56" s="103"/>
      <c r="E56" s="102"/>
      <c r="F56" s="102"/>
      <c r="G56" s="102"/>
      <c r="H56" s="102"/>
      <c r="I56" s="102">
        <f t="shared" si="21"/>
        <v>0</v>
      </c>
      <c r="J56" s="11"/>
      <c r="K56" s="17">
        <f>2/2*6945</f>
        <v>6945</v>
      </c>
      <c r="L56" s="20"/>
      <c r="M56" s="47"/>
      <c r="N56" s="11"/>
      <c r="O56" s="26"/>
      <c r="P56" s="26"/>
      <c r="Q56" s="13"/>
      <c r="R56" s="27"/>
      <c r="S56" s="16"/>
      <c r="T56" s="16"/>
      <c r="U56" s="16"/>
      <c r="V56" s="16"/>
      <c r="W56" s="108"/>
      <c r="X56" s="40"/>
      <c r="Y56" s="20"/>
    </row>
    <row r="57" spans="1:24" ht="12.75">
      <c r="A57" s="4" t="s">
        <v>114</v>
      </c>
      <c r="B57" s="26">
        <f>500+440+215+25</f>
        <v>1180</v>
      </c>
      <c r="C57" s="94">
        <f>500+(440+11/11*125)+215+25</f>
        <v>1305</v>
      </c>
      <c r="D57" s="26">
        <f>373+565+145.5+16</f>
        <v>1099.5</v>
      </c>
      <c r="E57" s="13">
        <f>380+530*0+150*0</f>
        <v>380</v>
      </c>
      <c r="I57" s="13">
        <f t="shared" si="21"/>
        <v>380</v>
      </c>
      <c r="J57" s="9" t="s">
        <v>71</v>
      </c>
      <c r="K57" s="109">
        <f>46940*0+2/2*171123*0+3/3*225652.88*0+4/4*298558.82</f>
        <v>298558.82</v>
      </c>
      <c r="L57" s="20">
        <f t="shared" si="18"/>
        <v>0.7856811052631579</v>
      </c>
      <c r="N57" s="63" t="s">
        <v>113</v>
      </c>
      <c r="Q57" s="13">
        <v>251.8</v>
      </c>
      <c r="V57" s="13">
        <f aca="true" t="shared" si="22" ref="V57:V66">SUM(R57:U57)</f>
        <v>0</v>
      </c>
      <c r="X57" s="40">
        <f>22500+2/2*33000+3/3*25500+4/4*24500</f>
        <v>105500</v>
      </c>
    </row>
    <row r="58" spans="1:22" ht="12.75">
      <c r="A58" s="4" t="s">
        <v>68</v>
      </c>
      <c r="C58" s="94"/>
      <c r="E58" s="13">
        <f>380*0+530+150*0</f>
        <v>530</v>
      </c>
      <c r="I58" s="13">
        <f t="shared" si="21"/>
        <v>530</v>
      </c>
      <c r="J58" s="9" t="s">
        <v>70</v>
      </c>
      <c r="K58" s="109">
        <f>64860*0+2/2*115501*0+3/3*150865.88*0+4/4*240367.82+2323/2323*340</f>
        <v>240707.82</v>
      </c>
      <c r="L58" s="20">
        <f t="shared" si="18"/>
        <v>0.45416569811320756</v>
      </c>
      <c r="N58" s="9"/>
      <c r="V58" s="13">
        <f t="shared" si="22"/>
        <v>0</v>
      </c>
    </row>
    <row r="59" spans="1:22" ht="12.75">
      <c r="A59" s="4" t="s">
        <v>69</v>
      </c>
      <c r="C59" s="94"/>
      <c r="E59" s="13">
        <f>380*0+530*0+150</f>
        <v>150</v>
      </c>
      <c r="I59" s="13">
        <f t="shared" si="21"/>
        <v>150</v>
      </c>
      <c r="J59" s="9" t="s">
        <v>72</v>
      </c>
      <c r="K59" s="109">
        <f>30234*0+2/2*53970*0+3/3*75569.02*0+4/4*111310.53</f>
        <v>111310.53</v>
      </c>
      <c r="L59" s="20">
        <f t="shared" si="18"/>
        <v>0.7420702</v>
      </c>
      <c r="N59" s="9"/>
      <c r="V59" s="13">
        <f t="shared" si="22"/>
        <v>0</v>
      </c>
    </row>
    <row r="60" spans="1:24" ht="12.75">
      <c r="A60" s="4" t="s">
        <v>92</v>
      </c>
      <c r="C60" s="94"/>
      <c r="J60" s="9"/>
      <c r="K60" s="17">
        <f>5410/5410*15912*0+2/2*30312*0+3/3*44712*0+4/4*59112</f>
        <v>59112</v>
      </c>
      <c r="N60" s="110" t="s">
        <v>117</v>
      </c>
      <c r="O60" s="111"/>
      <c r="P60" s="111"/>
      <c r="Q60" s="112"/>
      <c r="R60" s="112"/>
      <c r="S60" s="112"/>
      <c r="T60" s="112"/>
      <c r="U60" s="112"/>
      <c r="V60" s="112">
        <f t="shared" si="22"/>
        <v>0</v>
      </c>
      <c r="X60" s="40">
        <f>3/3*58400+4/4*117800</f>
        <v>176200</v>
      </c>
    </row>
    <row r="61" spans="1:24" ht="12.75">
      <c r="A61" s="1" t="s">
        <v>26</v>
      </c>
      <c r="C61" s="101">
        <f>71+119+1708</f>
        <v>1898</v>
      </c>
      <c r="D61" s="103">
        <f>71.4+119+1708</f>
        <v>1898.4</v>
      </c>
      <c r="E61" s="102"/>
      <c r="F61" s="102"/>
      <c r="G61" s="102"/>
      <c r="H61" s="102"/>
      <c r="I61" s="102">
        <f t="shared" si="21"/>
        <v>0</v>
      </c>
      <c r="N61" s="64" t="s">
        <v>115</v>
      </c>
      <c r="O61" s="26">
        <v>500</v>
      </c>
      <c r="P61" s="26">
        <v>500</v>
      </c>
      <c r="Q61" s="13">
        <v>500</v>
      </c>
      <c r="R61" s="13">
        <v>0</v>
      </c>
      <c r="V61" s="13">
        <f t="shared" si="22"/>
        <v>0</v>
      </c>
      <c r="X61" s="40">
        <f>18800*0+2/2*103500+4/4*-103500</f>
        <v>0</v>
      </c>
    </row>
    <row r="62" spans="1:24" ht="12.75">
      <c r="A62" s="1" t="s">
        <v>27</v>
      </c>
      <c r="B62" s="26">
        <f>0+45+10+2+0+0</f>
        <v>57</v>
      </c>
      <c r="C62" s="101">
        <f>0+76+71+2+0+0+(36+52+139+213)</f>
        <v>589</v>
      </c>
      <c r="D62" s="103">
        <f>3+34+58+38.4+51.6+138.8+213.1</f>
        <v>536.9</v>
      </c>
      <c r="E62" s="102"/>
      <c r="F62" s="102"/>
      <c r="G62" s="102"/>
      <c r="H62" s="102"/>
      <c r="I62" s="102">
        <f t="shared" si="21"/>
        <v>0</v>
      </c>
      <c r="N62" s="64" t="s">
        <v>116</v>
      </c>
      <c r="P62" s="26">
        <f>220+250+150</f>
        <v>620</v>
      </c>
      <c r="Q62" s="13">
        <f>331.4+250+150</f>
        <v>731.4</v>
      </c>
      <c r="T62" s="13">
        <f>5/5*261</f>
        <v>261</v>
      </c>
      <c r="V62" s="13">
        <f t="shared" si="22"/>
        <v>261</v>
      </c>
      <c r="X62" s="40">
        <f>3/3*(2+1)*30000+4/4*25000</f>
        <v>115000</v>
      </c>
    </row>
    <row r="63" spans="1:24" ht="12.75">
      <c r="A63" s="1" t="s">
        <v>66</v>
      </c>
      <c r="C63" s="101"/>
      <c r="D63" s="103"/>
      <c r="E63" s="102"/>
      <c r="F63" s="102"/>
      <c r="G63" s="102">
        <f>5/5*30</f>
        <v>30</v>
      </c>
      <c r="H63" s="102"/>
      <c r="I63" s="102">
        <f t="shared" si="21"/>
        <v>30</v>
      </c>
      <c r="K63" s="17">
        <f>7170+4/4*7170</f>
        <v>14340</v>
      </c>
      <c r="N63" s="64" t="s">
        <v>149</v>
      </c>
      <c r="V63" s="13">
        <f t="shared" si="22"/>
        <v>0</v>
      </c>
      <c r="X63" s="40">
        <f>2/2*2322/2322*4995.77</f>
        <v>4995.77</v>
      </c>
    </row>
    <row r="64" spans="1:22" ht="12.75">
      <c r="A64" s="1" t="s">
        <v>67</v>
      </c>
      <c r="C64" s="101"/>
      <c r="D64" s="103"/>
      <c r="E64" s="102"/>
      <c r="F64" s="102"/>
      <c r="G64" s="102"/>
      <c r="H64" s="102"/>
      <c r="I64" s="102">
        <f t="shared" si="21"/>
        <v>0</v>
      </c>
      <c r="K64" s="17">
        <f>50222.72*0+2/2*102799.62*0+4/4*155877.74</f>
        <v>155877.74</v>
      </c>
      <c r="V64" s="13">
        <f t="shared" si="22"/>
        <v>0</v>
      </c>
    </row>
    <row r="65" spans="1:22" ht="12.75">
      <c r="A65" s="1" t="s">
        <v>74</v>
      </c>
      <c r="C65" s="101"/>
      <c r="D65" s="103"/>
      <c r="E65" s="102"/>
      <c r="F65" s="102"/>
      <c r="G65" s="102"/>
      <c r="H65" s="102"/>
      <c r="I65" s="102">
        <f t="shared" si="21"/>
        <v>0</v>
      </c>
      <c r="K65" s="17">
        <f>1/1*(57332*0+6112/6112*14304+6171/6171*43028)</f>
        <v>57332</v>
      </c>
      <c r="V65" s="13">
        <f t="shared" si="22"/>
        <v>0</v>
      </c>
    </row>
    <row r="66" spans="1:25" s="30" customFormat="1" ht="12.75">
      <c r="A66" s="1" t="s">
        <v>28</v>
      </c>
      <c r="B66" s="26">
        <v>987</v>
      </c>
      <c r="C66" s="26">
        <v>987</v>
      </c>
      <c r="D66" s="26">
        <v>191.4</v>
      </c>
      <c r="E66" s="13">
        <v>100</v>
      </c>
      <c r="F66" s="13"/>
      <c r="G66" s="13"/>
      <c r="H66" s="13"/>
      <c r="I66" s="13">
        <f t="shared" si="21"/>
        <v>100</v>
      </c>
      <c r="J66" s="10" t="s">
        <v>73</v>
      </c>
      <c r="K66" s="17">
        <f>4/4*336+153/153*(1000*0+2/2*-1017)+2105/2105*2/2*-510+(1379/1379)*3/3*22772.46*0*4/4</f>
        <v>-1191</v>
      </c>
      <c r="L66" s="20">
        <f>K66/(I66*1000)</f>
        <v>-0.01191</v>
      </c>
      <c r="M66" s="47"/>
      <c r="N66" s="64" t="s">
        <v>118</v>
      </c>
      <c r="O66" s="14">
        <v>250</v>
      </c>
      <c r="P66" s="14">
        <v>250</v>
      </c>
      <c r="Q66" s="14">
        <v>250</v>
      </c>
      <c r="R66" s="14">
        <v>250</v>
      </c>
      <c r="S66" s="13"/>
      <c r="T66" s="13"/>
      <c r="U66" s="13"/>
      <c r="V66" s="13">
        <f t="shared" si="22"/>
        <v>250</v>
      </c>
      <c r="W66" s="8"/>
      <c r="X66" s="40">
        <f>2/2*58182+4/4*10000</f>
        <v>68182</v>
      </c>
      <c r="Y66" s="20">
        <f>X66/(V66*1000)</f>
        <v>0.272728</v>
      </c>
    </row>
    <row r="67" spans="1:24" ht="12.75">
      <c r="A67" s="1" t="s">
        <v>93</v>
      </c>
      <c r="K67" s="17">
        <f>2/2*3456</f>
        <v>3456</v>
      </c>
      <c r="N67" s="64" t="s">
        <v>119</v>
      </c>
      <c r="O67" s="14"/>
      <c r="P67" s="14">
        <v>961</v>
      </c>
      <c r="Q67" s="14">
        <v>961.5</v>
      </c>
      <c r="R67" s="14"/>
      <c r="X67" s="40">
        <f>4000+2/2*52716.33+3/3*10455+4/4*1076623.22</f>
        <v>1143794.55</v>
      </c>
    </row>
    <row r="68" spans="1:26" s="107" customFormat="1" ht="12.75">
      <c r="A68" s="44" t="s">
        <v>143</v>
      </c>
      <c r="B68" s="3">
        <f aca="true" t="shared" si="23" ref="B68:G68">SUM(B50:B67)</f>
        <v>45000</v>
      </c>
      <c r="C68" s="3">
        <f t="shared" si="23"/>
        <v>47586.3</v>
      </c>
      <c r="D68" s="3">
        <f t="shared" si="23"/>
        <v>45708.100000000006</v>
      </c>
      <c r="E68" s="12">
        <f t="shared" si="23"/>
        <v>52161</v>
      </c>
      <c r="F68" s="12">
        <f t="shared" si="23"/>
        <v>0</v>
      </c>
      <c r="G68" s="12">
        <f t="shared" si="23"/>
        <v>30</v>
      </c>
      <c r="H68" s="12"/>
      <c r="I68" s="12">
        <f>SUM(I50:I67)</f>
        <v>52191</v>
      </c>
      <c r="J68" s="10"/>
      <c r="K68" s="18">
        <f>SUM(K50:K67)</f>
        <v>13099671.02</v>
      </c>
      <c r="L68" s="21">
        <f>K68/(I68*1000)</f>
        <v>0.25099482707746545</v>
      </c>
      <c r="M68" s="106">
        <f>2/2*4840804.32-K68</f>
        <v>-8258866.699999999</v>
      </c>
      <c r="N68" s="83">
        <f>I68+I88+I89+I94+I98-3/3*53096.1*0-4/4*53201.1+(K68+K88+K89+K94+K98-3/3*(8786739.82*0+4/4*13133997.52+(10/10)*159.5))</f>
        <v>399.90000000000146</v>
      </c>
      <c r="O68" s="3">
        <f aca="true" t="shared" si="24" ref="O68:T68">SUM(O50:O67)</f>
        <v>10931</v>
      </c>
      <c r="P68" s="3">
        <f t="shared" si="24"/>
        <v>11339</v>
      </c>
      <c r="Q68" s="12">
        <f t="shared" si="24"/>
        <v>11501.4</v>
      </c>
      <c r="R68" s="12">
        <f t="shared" si="24"/>
        <v>18728.000004705133</v>
      </c>
      <c r="S68" s="12">
        <f t="shared" si="24"/>
        <v>0</v>
      </c>
      <c r="T68" s="12">
        <f t="shared" si="24"/>
        <v>261</v>
      </c>
      <c r="U68" s="12"/>
      <c r="V68" s="12">
        <f>SUM(V50:V67)</f>
        <v>18989.000004705133</v>
      </c>
      <c r="W68" s="84"/>
      <c r="X68" s="18">
        <f>SUM(X50:X67)</f>
        <v>7788789.540501709</v>
      </c>
      <c r="Y68" s="21">
        <f>X68/(V68*1000)</f>
        <v>0.41017376052302845</v>
      </c>
      <c r="Z68" s="106">
        <f>2/2*278894.1+2*1540000-X68</f>
        <v>-4429895.440501709</v>
      </c>
    </row>
    <row r="69" spans="1:25" s="30" customFormat="1" ht="12.75">
      <c r="A69" s="1"/>
      <c r="B69" s="26"/>
      <c r="C69" s="26"/>
      <c r="D69" s="26"/>
      <c r="E69" s="13"/>
      <c r="F69" s="13"/>
      <c r="G69" s="13"/>
      <c r="H69" s="13"/>
      <c r="I69" s="13"/>
      <c r="J69" s="10"/>
      <c r="K69" s="17"/>
      <c r="L69" s="20"/>
      <c r="M69" s="47"/>
      <c r="N69" s="64" t="s">
        <v>120</v>
      </c>
      <c r="O69" s="26">
        <v>2368</v>
      </c>
      <c r="P69" s="26">
        <v>2418</v>
      </c>
      <c r="Q69" s="13">
        <v>2215.6</v>
      </c>
      <c r="R69" s="55">
        <f>250+35+520+13+250+1300</f>
        <v>2368</v>
      </c>
      <c r="S69" s="56"/>
      <c r="T69" s="56"/>
      <c r="U69" s="56"/>
      <c r="V69" s="56">
        <f aca="true" t="shared" si="25" ref="V69:V77">SUM(R69:U69)</f>
        <v>2368</v>
      </c>
      <c r="W69" s="113" t="s">
        <v>47</v>
      </c>
      <c r="X69" s="40">
        <f>41/41*(17325*0+45675*0+3/3*125869*0+4/4*214554.75)+42/42*(1545*0+1740*0+3/3*1935*0+4/4*2767.5)+43/43*(30421*0+2/2*58545*0+3/3*182536*0+4/4*196090)+44/44*(3000*0+2/2*7305)+45/45*(27768*0+31616*0+3/3*36236*0+4/4*65768)+47/47*(0+10000*0+3/3*90000*0+4/4*140000)+51/51*(42936*0+2/2*86881*0+3/3*277635*0+4/4*286107)</f>
        <v>912592.25</v>
      </c>
      <c r="Y69" s="20">
        <f aca="true" t="shared" si="26" ref="Y69:Y75">X69/(V69*1000)</f>
        <v>0.38538524070945945</v>
      </c>
    </row>
    <row r="70" spans="1:25" s="30" customFormat="1" ht="12.75">
      <c r="A70" s="1"/>
      <c r="B70" s="26"/>
      <c r="C70" s="26"/>
      <c r="D70" s="26"/>
      <c r="E70" s="13"/>
      <c r="F70" s="13"/>
      <c r="G70" s="13"/>
      <c r="H70" s="13"/>
      <c r="I70" s="13"/>
      <c r="J70" s="10"/>
      <c r="K70" s="17"/>
      <c r="L70" s="20"/>
      <c r="M70" s="47"/>
      <c r="N70" s="64" t="s">
        <v>121</v>
      </c>
      <c r="O70" s="26">
        <v>3400</v>
      </c>
      <c r="P70" s="26">
        <v>2554</v>
      </c>
      <c r="Q70" s="114">
        <f>3110/3110*2404+37*16-37*(16*2)*50%+150</f>
        <v>2554</v>
      </c>
      <c r="R70" s="56">
        <f>3400-500*0</f>
        <v>3400</v>
      </c>
      <c r="S70" s="56"/>
      <c r="T70" s="56"/>
      <c r="U70" s="56"/>
      <c r="V70" s="56">
        <f t="shared" si="25"/>
        <v>3400</v>
      </c>
      <c r="W70" s="15" t="s">
        <v>51</v>
      </c>
      <c r="X70" s="40">
        <f>94525*0+2/2*261816*0+3/3*486256*0+4/4*623971</f>
        <v>623971</v>
      </c>
      <c r="Y70" s="20">
        <f t="shared" si="26"/>
        <v>0.18352088235294117</v>
      </c>
    </row>
    <row r="71" spans="1:25" s="30" customFormat="1" ht="12.75">
      <c r="A71" s="1"/>
      <c r="B71" s="26"/>
      <c r="C71" s="26"/>
      <c r="D71" s="26"/>
      <c r="E71" s="13"/>
      <c r="F71" s="13"/>
      <c r="G71" s="13"/>
      <c r="H71" s="13"/>
      <c r="I71" s="13"/>
      <c r="J71" s="10"/>
      <c r="K71" s="17"/>
      <c r="L71" s="20"/>
      <c r="M71" s="47"/>
      <c r="N71" s="64" t="s">
        <v>122</v>
      </c>
      <c r="O71" s="26">
        <v>5000</v>
      </c>
      <c r="P71" s="26">
        <v>5000</v>
      </c>
      <c r="Q71" s="13">
        <v>5000</v>
      </c>
      <c r="R71" s="13">
        <v>5000</v>
      </c>
      <c r="S71" s="13"/>
      <c r="T71" s="13">
        <f>3/3*4200</f>
        <v>4200</v>
      </c>
      <c r="U71" s="13"/>
      <c r="V71" s="13">
        <f t="shared" si="25"/>
        <v>9200</v>
      </c>
      <c r="W71" s="8"/>
      <c r="X71" s="40"/>
      <c r="Y71" s="20">
        <f t="shared" si="26"/>
        <v>0</v>
      </c>
    </row>
    <row r="72" spans="1:25" s="30" customFormat="1" ht="12.75">
      <c r="A72" s="1"/>
      <c r="B72" s="26"/>
      <c r="C72" s="26"/>
      <c r="D72" s="26"/>
      <c r="E72" s="13"/>
      <c r="F72" s="13"/>
      <c r="G72" s="13"/>
      <c r="H72" s="13"/>
      <c r="I72" s="13"/>
      <c r="J72" s="10"/>
      <c r="K72" s="17"/>
      <c r="L72" s="20"/>
      <c r="M72" s="47"/>
      <c r="N72" s="64" t="s">
        <v>111</v>
      </c>
      <c r="O72" s="26"/>
      <c r="P72" s="26"/>
      <c r="Q72" s="13"/>
      <c r="R72" s="13"/>
      <c r="S72" s="13"/>
      <c r="T72" s="13"/>
      <c r="U72" s="13"/>
      <c r="V72" s="13">
        <f t="shared" si="25"/>
        <v>0</v>
      </c>
      <c r="W72" s="8"/>
      <c r="X72" s="40">
        <f>1632000*4-X53-X18-X16</f>
        <v>-0.0005003766564186662</v>
      </c>
      <c r="Y72" s="24"/>
    </row>
    <row r="73" spans="1:25" s="30" customFormat="1" ht="12.75">
      <c r="A73" s="1"/>
      <c r="B73" s="26"/>
      <c r="C73" s="26"/>
      <c r="D73" s="26"/>
      <c r="E73" s="13"/>
      <c r="F73" s="13"/>
      <c r="G73" s="13"/>
      <c r="H73" s="13"/>
      <c r="I73" s="13"/>
      <c r="J73" s="10"/>
      <c r="K73" s="17"/>
      <c r="L73" s="20"/>
      <c r="M73" s="47"/>
      <c r="N73" s="64" t="s">
        <v>123</v>
      </c>
      <c r="O73" s="26">
        <v>33534</v>
      </c>
      <c r="P73" s="26">
        <v>33534</v>
      </c>
      <c r="Q73" s="13">
        <v>33534</v>
      </c>
      <c r="R73" s="27">
        <f>8408*3.728472883</f>
        <v>31349.000000263997</v>
      </c>
      <c r="S73" s="16"/>
      <c r="T73" s="16"/>
      <c r="U73" s="16"/>
      <c r="V73" s="16">
        <f t="shared" si="25"/>
        <v>31349.000000263997</v>
      </c>
      <c r="W73" s="89" t="s">
        <v>48</v>
      </c>
      <c r="X73" s="40">
        <f>2612000*4</f>
        <v>10448000</v>
      </c>
      <c r="Y73" s="20">
        <f t="shared" si="26"/>
        <v>0.33328016842361846</v>
      </c>
    </row>
    <row r="74" spans="14:23" ht="12.75">
      <c r="N74" s="64" t="s">
        <v>124</v>
      </c>
      <c r="P74" s="26">
        <v>2198.3</v>
      </c>
      <c r="Q74" s="13">
        <v>2198.4</v>
      </c>
      <c r="V74" s="13">
        <f t="shared" si="25"/>
        <v>0</v>
      </c>
      <c r="W74" s="15"/>
    </row>
    <row r="75" spans="1:25" s="30" customFormat="1" ht="12.75">
      <c r="A75" s="1"/>
      <c r="B75" s="26"/>
      <c r="C75" s="26"/>
      <c r="D75" s="26"/>
      <c r="E75" s="13"/>
      <c r="F75" s="13"/>
      <c r="G75" s="13"/>
      <c r="H75" s="13"/>
      <c r="I75" s="13"/>
      <c r="J75" s="10"/>
      <c r="K75" s="17"/>
      <c r="L75" s="20"/>
      <c r="M75" s="47"/>
      <c r="N75" s="64" t="s">
        <v>125</v>
      </c>
      <c r="O75" s="26">
        <v>39526</v>
      </c>
      <c r="P75" s="26">
        <f>55150+2500</f>
        <v>57650</v>
      </c>
      <c r="Q75" s="13">
        <f>55150+2500</f>
        <v>57650</v>
      </c>
      <c r="R75" s="27">
        <f>4662+2498+1000</f>
        <v>8160</v>
      </c>
      <c r="S75" s="16"/>
      <c r="T75" s="16">
        <f>3/3*(-4200+2000+80)</f>
        <v>-2120</v>
      </c>
      <c r="U75" s="16"/>
      <c r="V75" s="16">
        <f t="shared" si="25"/>
        <v>6040</v>
      </c>
      <c r="W75" s="89" t="s">
        <v>49</v>
      </c>
      <c r="X75" s="40"/>
      <c r="Y75" s="20">
        <f t="shared" si="26"/>
        <v>0</v>
      </c>
    </row>
    <row r="76" spans="1:25" s="30" customFormat="1" ht="12.75">
      <c r="A76" s="1"/>
      <c r="B76" s="26"/>
      <c r="C76" s="26"/>
      <c r="D76" s="26"/>
      <c r="E76" s="13"/>
      <c r="F76" s="13"/>
      <c r="G76" s="13"/>
      <c r="H76" s="13"/>
      <c r="I76" s="13"/>
      <c r="J76" s="10"/>
      <c r="K76" s="17"/>
      <c r="L76" s="20"/>
      <c r="M76" s="47"/>
      <c r="N76" s="64" t="s">
        <v>126</v>
      </c>
      <c r="O76" s="26"/>
      <c r="P76" s="26"/>
      <c r="Q76" s="13"/>
      <c r="R76" s="27"/>
      <c r="S76" s="16"/>
      <c r="T76" s="16"/>
      <c r="U76" s="16"/>
      <c r="V76" s="16"/>
      <c r="W76" s="89"/>
      <c r="X76" s="40">
        <f>2/2*-1099279</f>
        <v>-1099279</v>
      </c>
      <c r="Y76" s="20"/>
    </row>
    <row r="77" spans="14:24" ht="12.75">
      <c r="N77" s="64" t="s">
        <v>127</v>
      </c>
      <c r="V77" s="13">
        <f t="shared" si="25"/>
        <v>0</v>
      </c>
      <c r="X77" s="40">
        <f>17000*0*2/2+3/3*1076823.22*0*4/4</f>
        <v>0</v>
      </c>
    </row>
    <row r="78" spans="1:26" s="107" customFormat="1" ht="12.75">
      <c r="A78" s="44" t="s">
        <v>144</v>
      </c>
      <c r="B78" s="3">
        <f aca="true" t="shared" si="27" ref="B78:G78">SUM(B69:B77)</f>
        <v>0</v>
      </c>
      <c r="C78" s="3">
        <f t="shared" si="27"/>
        <v>0</v>
      </c>
      <c r="D78" s="3">
        <f t="shared" si="27"/>
        <v>0</v>
      </c>
      <c r="E78" s="12">
        <f t="shared" si="27"/>
        <v>0</v>
      </c>
      <c r="F78" s="12">
        <f t="shared" si="27"/>
        <v>0</v>
      </c>
      <c r="G78" s="12">
        <f t="shared" si="27"/>
        <v>0</v>
      </c>
      <c r="H78" s="12"/>
      <c r="I78" s="12">
        <f>SUM(I69:I77)</f>
        <v>0</v>
      </c>
      <c r="J78" s="10"/>
      <c r="K78" s="18">
        <f>SUM(K69:K77)</f>
        <v>0</v>
      </c>
      <c r="L78" s="20"/>
      <c r="M78" s="47"/>
      <c r="N78" s="10"/>
      <c r="O78" s="3">
        <f aca="true" t="shared" si="28" ref="O78:T78">SUM(O69:O77)</f>
        <v>83828</v>
      </c>
      <c r="P78" s="3">
        <f t="shared" si="28"/>
        <v>103354.3</v>
      </c>
      <c r="Q78" s="12">
        <f t="shared" si="28"/>
        <v>103152</v>
      </c>
      <c r="R78" s="12">
        <f t="shared" si="28"/>
        <v>50277.000000264</v>
      </c>
      <c r="S78" s="12">
        <f t="shared" si="28"/>
        <v>0</v>
      </c>
      <c r="T78" s="12">
        <f t="shared" si="28"/>
        <v>2080</v>
      </c>
      <c r="U78" s="12"/>
      <c r="V78" s="12">
        <f>SUM(V69:V77)</f>
        <v>52357.000000264</v>
      </c>
      <c r="W78" s="8"/>
      <c r="X78" s="60">
        <f>SUM(X69:X77)</f>
        <v>10885284.249499623</v>
      </c>
      <c r="Y78" s="21">
        <f>X78/(V78*1000)</f>
        <v>0.2079050413401214</v>
      </c>
      <c r="Z78" s="106">
        <f>2/2*(19276000.1-11383701.1-2*1540000-(X16+X18))-X78</f>
        <v>-6440985.249498287</v>
      </c>
    </row>
    <row r="79" spans="1:25" s="30" customFormat="1" ht="12.75">
      <c r="A79" s="1"/>
      <c r="B79" s="26"/>
      <c r="C79" s="26"/>
      <c r="D79" s="26"/>
      <c r="E79" s="13"/>
      <c r="F79" s="13"/>
      <c r="G79" s="13"/>
      <c r="H79" s="13"/>
      <c r="I79" s="13"/>
      <c r="J79" s="10"/>
      <c r="K79" s="59"/>
      <c r="L79" s="22"/>
      <c r="M79" s="48"/>
      <c r="N79" s="10"/>
      <c r="O79" s="26"/>
      <c r="P79" s="26"/>
      <c r="Q79" s="13"/>
      <c r="R79" s="13"/>
      <c r="S79" s="13"/>
      <c r="T79" s="13"/>
      <c r="U79" s="13"/>
      <c r="V79" s="13"/>
      <c r="W79" s="8"/>
      <c r="X79" s="59"/>
      <c r="Y79" s="22"/>
    </row>
    <row r="80" spans="1:25" s="30" customFormat="1" ht="12.75">
      <c r="A80" s="66" t="s">
        <v>61</v>
      </c>
      <c r="B80" s="6">
        <f aca="true" t="shared" si="29" ref="B80:G80">SUM(B4:B79)/2</f>
        <v>97805</v>
      </c>
      <c r="C80" s="6">
        <f t="shared" si="29"/>
        <v>118802.29999999999</v>
      </c>
      <c r="D80" s="6">
        <f t="shared" si="29"/>
        <v>113731.59999999999</v>
      </c>
      <c r="E80" s="7">
        <f t="shared" si="29"/>
        <v>81875</v>
      </c>
      <c r="F80" s="7">
        <f t="shared" si="29"/>
        <v>0</v>
      </c>
      <c r="G80" s="7">
        <f t="shared" si="29"/>
        <v>2341</v>
      </c>
      <c r="H80" s="7"/>
      <c r="I80" s="7">
        <f>SUM(I4:I79)/2</f>
        <v>84216</v>
      </c>
      <c r="J80" s="10"/>
      <c r="K80" s="19">
        <f>SUM(K4:K79)/2</f>
        <v>21891016.71</v>
      </c>
      <c r="L80" s="23">
        <f>K80/(I80*1000)</f>
        <v>0.25993892740096897</v>
      </c>
      <c r="M80" s="49"/>
      <c r="N80" s="45"/>
      <c r="O80" s="6">
        <f aca="true" t="shared" si="30" ref="O80:T80">SUM(O4:O79)/2</f>
        <v>97585</v>
      </c>
      <c r="P80" s="6">
        <f t="shared" si="30"/>
        <v>117535.29999999999</v>
      </c>
      <c r="Q80" s="7">
        <f t="shared" si="30"/>
        <v>117495.4</v>
      </c>
      <c r="R80" s="7">
        <f t="shared" si="30"/>
        <v>81875.00000496913</v>
      </c>
      <c r="S80" s="7">
        <f t="shared" si="30"/>
        <v>0</v>
      </c>
      <c r="T80" s="7">
        <f t="shared" si="30"/>
        <v>2341</v>
      </c>
      <c r="U80" s="7"/>
      <c r="V80" s="7">
        <f>SUM(V4:V79)/2</f>
        <v>84216.00000496913</v>
      </c>
      <c r="W80" s="8"/>
      <c r="X80" s="61">
        <f>SUM(X4:X79)/2</f>
        <v>19691952.88</v>
      </c>
      <c r="Y80" s="23">
        <f>X80/(V80*1000)</f>
        <v>0.23382674169799186</v>
      </c>
    </row>
    <row r="81" spans="1:25" s="30" customFormat="1" ht="12.75">
      <c r="A81" s="1"/>
      <c r="B81" s="26"/>
      <c r="C81" s="26"/>
      <c r="D81" s="26"/>
      <c r="E81" s="13"/>
      <c r="F81" s="13"/>
      <c r="G81" s="13"/>
      <c r="H81" s="13"/>
      <c r="I81" s="13"/>
      <c r="J81" s="10"/>
      <c r="K81" s="17"/>
      <c r="L81" s="20"/>
      <c r="M81" s="47"/>
      <c r="N81" s="10"/>
      <c r="O81" s="26">
        <f>O80-B80</f>
        <v>-220</v>
      </c>
      <c r="P81" s="26">
        <f>P80-C80</f>
        <v>-1267</v>
      </c>
      <c r="Q81" s="13">
        <f>Q80-D80</f>
        <v>3763.800000000003</v>
      </c>
      <c r="R81" s="13">
        <f>R80-E80</f>
        <v>4.969129804521799E-06</v>
      </c>
      <c r="S81" s="13"/>
      <c r="T81" s="13"/>
      <c r="U81" s="13"/>
      <c r="V81" s="13"/>
      <c r="W81" s="8"/>
      <c r="X81" s="17"/>
      <c r="Y81" s="20"/>
    </row>
    <row r="82" spans="1:25" s="30" customFormat="1" ht="12.75">
      <c r="A82" s="34" t="s">
        <v>59</v>
      </c>
      <c r="B82" s="26"/>
      <c r="C82" s="26"/>
      <c r="D82" s="26"/>
      <c r="E82" s="13"/>
      <c r="F82" s="13"/>
      <c r="G82" s="13"/>
      <c r="H82" s="13"/>
      <c r="I82" s="13"/>
      <c r="J82" s="10"/>
      <c r="K82" s="17"/>
      <c r="L82" s="20"/>
      <c r="M82" s="47"/>
      <c r="N82" s="10"/>
      <c r="O82" s="26"/>
      <c r="P82" s="26"/>
      <c r="Q82" s="13"/>
      <c r="R82" s="13"/>
      <c r="S82" s="13"/>
      <c r="T82" s="13"/>
      <c r="U82" s="13"/>
      <c r="V82" s="13"/>
      <c r="W82" s="8"/>
      <c r="X82" s="17"/>
      <c r="Y82" s="20"/>
    </row>
    <row r="83" spans="1:25" s="30" customFormat="1" ht="12.75">
      <c r="A83" s="44" t="s">
        <v>80</v>
      </c>
      <c r="B83" s="26"/>
      <c r="C83" s="26"/>
      <c r="D83" s="26"/>
      <c r="E83" s="13"/>
      <c r="F83" s="13"/>
      <c r="G83" s="13"/>
      <c r="H83" s="13"/>
      <c r="I83" s="13"/>
      <c r="J83" s="10"/>
      <c r="K83" s="17"/>
      <c r="L83" s="20"/>
      <c r="M83" s="47"/>
      <c r="N83" s="10"/>
      <c r="O83" s="26"/>
      <c r="P83" s="26"/>
      <c r="Q83" s="13"/>
      <c r="R83" s="13"/>
      <c r="S83" s="13"/>
      <c r="T83" s="13"/>
      <c r="U83" s="13"/>
      <c r="V83" s="13"/>
      <c r="W83" s="8"/>
      <c r="X83" s="17"/>
      <c r="Y83" s="20"/>
    </row>
    <row r="84" spans="1:25" s="30" customFormat="1" ht="24">
      <c r="A84" s="115" t="s">
        <v>104</v>
      </c>
      <c r="B84" s="116"/>
      <c r="C84" s="116"/>
      <c r="D84" s="116"/>
      <c r="E84" s="117"/>
      <c r="F84" s="117">
        <f>1/1*6000</f>
        <v>6000</v>
      </c>
      <c r="G84" s="117"/>
      <c r="H84" s="117"/>
      <c r="I84" s="117">
        <f>SUM(E84:H84)</f>
        <v>6000</v>
      </c>
      <c r="J84" s="10"/>
      <c r="K84" s="17">
        <f>1610453*0+2/2*(3515568-K85)*0+3/3*1203444*0+4/4*7533298-K85</f>
        <v>1615298</v>
      </c>
      <c r="L84" s="20">
        <f aca="true" t="shared" si="31" ref="L84:L102">K84/(I84*1000)</f>
        <v>0.26921633333333334</v>
      </c>
      <c r="M84" s="47"/>
      <c r="N84" s="10"/>
      <c r="O84" s="26"/>
      <c r="P84" s="26"/>
      <c r="Q84" s="13"/>
      <c r="R84" s="13"/>
      <c r="S84" s="13">
        <f>1/1*6000</f>
        <v>6000</v>
      </c>
      <c r="T84" s="13"/>
      <c r="U84" s="13"/>
      <c r="V84" s="13">
        <f aca="true" t="shared" si="32" ref="V84:V90">SUM(R84:U84)</f>
        <v>6000</v>
      </c>
      <c r="W84" s="8"/>
      <c r="X84" s="17">
        <f>1000000+2/2*500000+4/4*200000</f>
        <v>1700000</v>
      </c>
      <c r="Y84" s="20">
        <f aca="true" t="shared" si="33" ref="Y84:Y102">X84/(V84*1000)</f>
        <v>0.2833333333333333</v>
      </c>
    </row>
    <row r="85" spans="1:25" s="30" customFormat="1" ht="24">
      <c r="A85" s="115" t="s">
        <v>105</v>
      </c>
      <c r="B85" s="116"/>
      <c r="C85" s="116"/>
      <c r="D85" s="116"/>
      <c r="E85" s="117"/>
      <c r="F85" s="117">
        <f>1/1*16730</f>
        <v>16730</v>
      </c>
      <c r="G85" s="117"/>
      <c r="H85" s="117"/>
      <c r="I85" s="117">
        <f>SUM(E85:H85)</f>
        <v>16730</v>
      </c>
      <c r="J85" s="10"/>
      <c r="K85" s="17">
        <f>1482000*0+2/2*2912000+3/3*1483000+4/4*1523000</f>
        <v>5918000</v>
      </c>
      <c r="L85" s="20">
        <f t="shared" si="31"/>
        <v>0.353735803945009</v>
      </c>
      <c r="M85" s="47"/>
      <c r="N85" s="10"/>
      <c r="O85" s="26"/>
      <c r="P85" s="26"/>
      <c r="Q85" s="13"/>
      <c r="R85" s="13"/>
      <c r="S85" s="13">
        <f>1/1*16730</f>
        <v>16730</v>
      </c>
      <c r="T85" s="13"/>
      <c r="U85" s="13"/>
      <c r="V85" s="13">
        <f t="shared" si="32"/>
        <v>16730</v>
      </c>
      <c r="W85" s="8"/>
      <c r="X85" s="17">
        <f>1800000+2/2*1600000+3/3*1486000+4/4*1534000</f>
        <v>6420000</v>
      </c>
      <c r="Y85" s="20">
        <f t="shared" si="33"/>
        <v>0.38374178123132097</v>
      </c>
    </row>
    <row r="86" spans="1:25" s="30" customFormat="1" ht="12.75">
      <c r="A86" s="115" t="s">
        <v>150</v>
      </c>
      <c r="B86" s="116"/>
      <c r="C86" s="116"/>
      <c r="D86" s="116"/>
      <c r="E86" s="117"/>
      <c r="F86" s="117">
        <f>3/3*30</f>
        <v>30</v>
      </c>
      <c r="G86" s="117"/>
      <c r="H86" s="117"/>
      <c r="I86" s="117">
        <f>SUM(E86:H86)</f>
        <v>30</v>
      </c>
      <c r="J86" s="10"/>
      <c r="K86" s="17"/>
      <c r="L86" s="20">
        <f t="shared" si="31"/>
        <v>0</v>
      </c>
      <c r="M86" s="47"/>
      <c r="N86" s="10"/>
      <c r="O86" s="26"/>
      <c r="P86" s="26"/>
      <c r="Q86" s="13"/>
      <c r="R86" s="13"/>
      <c r="S86" s="13">
        <f>3/3*30</f>
        <v>30</v>
      </c>
      <c r="T86" s="13"/>
      <c r="U86" s="13"/>
      <c r="V86" s="13">
        <f t="shared" si="32"/>
        <v>30</v>
      </c>
      <c r="W86" s="8"/>
      <c r="X86" s="17">
        <f>3/3*30000</f>
        <v>30000</v>
      </c>
      <c r="Y86" s="20">
        <f t="shared" si="33"/>
        <v>1</v>
      </c>
    </row>
    <row r="87" spans="1:25" s="30" customFormat="1" ht="12.75">
      <c r="A87" s="115" t="s">
        <v>110</v>
      </c>
      <c r="B87" s="116"/>
      <c r="C87" s="116"/>
      <c r="D87" s="116"/>
      <c r="E87" s="117"/>
      <c r="F87" s="117"/>
      <c r="G87" s="117"/>
      <c r="H87" s="117"/>
      <c r="I87" s="117"/>
      <c r="J87" s="10"/>
      <c r="K87" s="17"/>
      <c r="L87" s="20"/>
      <c r="M87" s="47"/>
      <c r="N87" s="10"/>
      <c r="O87" s="26"/>
      <c r="P87" s="26"/>
      <c r="Q87" s="13"/>
      <c r="R87" s="13"/>
      <c r="S87" s="13"/>
      <c r="T87" s="13"/>
      <c r="U87" s="13"/>
      <c r="V87" s="13">
        <f t="shared" si="32"/>
        <v>0</v>
      </c>
      <c r="W87" s="8"/>
      <c r="X87" s="17">
        <f>3/3*1260000*40%</f>
        <v>504000</v>
      </c>
      <c r="Y87" s="20"/>
    </row>
    <row r="88" spans="1:25" s="30" customFormat="1" ht="12.75">
      <c r="A88" s="115" t="s">
        <v>108</v>
      </c>
      <c r="B88" s="116"/>
      <c r="C88" s="116"/>
      <c r="D88" s="116"/>
      <c r="E88" s="117"/>
      <c r="F88" s="117">
        <f>2/2*369.9+5/5*369.9</f>
        <v>739.8</v>
      </c>
      <c r="G88" s="117"/>
      <c r="H88" s="117"/>
      <c r="I88" s="117">
        <f>SUM(E88:H88)</f>
        <v>739.8</v>
      </c>
      <c r="J88" s="10"/>
      <c r="K88" s="17">
        <f>3/3*920+4/4*920</f>
        <v>1840</v>
      </c>
      <c r="L88" s="20">
        <f t="shared" si="31"/>
        <v>0.0024871586915382535</v>
      </c>
      <c r="M88" s="47"/>
      <c r="N88" s="10"/>
      <c r="O88" s="26"/>
      <c r="P88" s="26"/>
      <c r="Q88" s="13"/>
      <c r="R88" s="13"/>
      <c r="S88" s="13">
        <f>2/2*369.9+5/5*369.9</f>
        <v>739.8</v>
      </c>
      <c r="T88" s="13"/>
      <c r="U88" s="13"/>
      <c r="V88" s="13">
        <f t="shared" si="32"/>
        <v>739.8</v>
      </c>
      <c r="W88" s="8"/>
      <c r="X88" s="17">
        <f>3/3*369854</f>
        <v>369854</v>
      </c>
      <c r="Y88" s="20">
        <f t="shared" si="33"/>
        <v>0.49993782103271156</v>
      </c>
    </row>
    <row r="89" spans="1:25" s="30" customFormat="1" ht="12.75">
      <c r="A89" s="115" t="s">
        <v>109</v>
      </c>
      <c r="B89" s="116"/>
      <c r="C89" s="116"/>
      <c r="D89" s="116"/>
      <c r="E89" s="117"/>
      <c r="F89" s="117">
        <f>2/2*226.1</f>
        <v>226.1</v>
      </c>
      <c r="G89" s="117"/>
      <c r="H89" s="117"/>
      <c r="I89" s="117">
        <f>SUM(E89:H89)</f>
        <v>226.1</v>
      </c>
      <c r="J89" s="10"/>
      <c r="K89" s="17"/>
      <c r="L89" s="20">
        <f t="shared" si="31"/>
        <v>0</v>
      </c>
      <c r="M89" s="47"/>
      <c r="N89" s="10"/>
      <c r="O89" s="26"/>
      <c r="P89" s="26"/>
      <c r="Q89" s="13"/>
      <c r="R89" s="13"/>
      <c r="S89" s="13">
        <f>2/2*226.1</f>
        <v>226.1</v>
      </c>
      <c r="T89" s="13"/>
      <c r="U89" s="13"/>
      <c r="V89" s="13">
        <f t="shared" si="32"/>
        <v>226.1</v>
      </c>
      <c r="W89" s="8"/>
      <c r="X89" s="17">
        <f>3/3*226100</f>
        <v>226100</v>
      </c>
      <c r="Y89" s="20">
        <f t="shared" si="33"/>
        <v>1</v>
      </c>
    </row>
    <row r="90" spans="1:25" s="30" customFormat="1" ht="12.75">
      <c r="A90" s="115" t="s">
        <v>134</v>
      </c>
      <c r="B90" s="116"/>
      <c r="C90" s="116"/>
      <c r="D90" s="116"/>
      <c r="E90" s="117"/>
      <c r="F90" s="117">
        <f>4/4*160.6</f>
        <v>160.6</v>
      </c>
      <c r="G90" s="117"/>
      <c r="H90" s="117"/>
      <c r="I90" s="117">
        <f>SUM(E90:H90)</f>
        <v>160.6</v>
      </c>
      <c r="J90" s="10"/>
      <c r="K90" s="17"/>
      <c r="L90" s="20"/>
      <c r="M90" s="47"/>
      <c r="N90" s="10"/>
      <c r="O90" s="26"/>
      <c r="P90" s="26"/>
      <c r="Q90" s="13"/>
      <c r="R90" s="13"/>
      <c r="S90" s="13">
        <f>4/4*160.6</f>
        <v>160.6</v>
      </c>
      <c r="T90" s="13"/>
      <c r="U90" s="13"/>
      <c r="V90" s="13">
        <f t="shared" si="32"/>
        <v>160.6</v>
      </c>
      <c r="W90" s="8"/>
      <c r="X90" s="17">
        <f>4/4*160600</f>
        <v>160600</v>
      </c>
      <c r="Y90" s="20">
        <f t="shared" si="33"/>
        <v>1</v>
      </c>
    </row>
    <row r="91" spans="1:25" s="30" customFormat="1" ht="12.75">
      <c r="A91" s="115" t="s">
        <v>145</v>
      </c>
      <c r="B91" s="116"/>
      <c r="C91" s="116"/>
      <c r="D91" s="116"/>
      <c r="E91" s="117"/>
      <c r="F91" s="117">
        <f>5/5*232</f>
        <v>232</v>
      </c>
      <c r="G91" s="117"/>
      <c r="H91" s="117"/>
      <c r="I91" s="117">
        <f>SUM(E91:H91)</f>
        <v>232</v>
      </c>
      <c r="J91" s="10"/>
      <c r="K91" s="17"/>
      <c r="L91" s="20"/>
      <c r="M91" s="47"/>
      <c r="N91" s="10"/>
      <c r="O91" s="26"/>
      <c r="P91" s="26"/>
      <c r="Q91" s="13"/>
      <c r="R91" s="13"/>
      <c r="S91" s="13">
        <f>5/5*232</f>
        <v>232</v>
      </c>
      <c r="T91" s="13"/>
      <c r="U91" s="13"/>
      <c r="V91" s="13">
        <f>SUM(R91:U91)</f>
        <v>232</v>
      </c>
      <c r="W91" s="8"/>
      <c r="X91" s="17"/>
      <c r="Y91" s="20"/>
    </row>
    <row r="92" spans="1:25" s="30" customFormat="1" ht="12.75">
      <c r="A92" s="44" t="s">
        <v>81</v>
      </c>
      <c r="B92" s="26"/>
      <c r="C92" s="26"/>
      <c r="D92" s="26"/>
      <c r="E92" s="13"/>
      <c r="F92" s="13"/>
      <c r="G92" s="13"/>
      <c r="H92" s="13"/>
      <c r="I92" s="13"/>
      <c r="J92" s="10"/>
      <c r="K92" s="17"/>
      <c r="L92" s="20"/>
      <c r="M92" s="47"/>
      <c r="N92" s="10"/>
      <c r="O92" s="26"/>
      <c r="P92" s="26"/>
      <c r="Q92" s="13"/>
      <c r="R92" s="13"/>
      <c r="S92" s="13"/>
      <c r="T92" s="13"/>
      <c r="U92" s="13"/>
      <c r="V92" s="13"/>
      <c r="W92" s="8"/>
      <c r="X92" s="17"/>
      <c r="Y92" s="20"/>
    </row>
    <row r="93" spans="1:25" s="30" customFormat="1" ht="12.75">
      <c r="A93" s="2" t="s">
        <v>99</v>
      </c>
      <c r="B93" s="26"/>
      <c r="C93" s="26"/>
      <c r="D93" s="26"/>
      <c r="E93" s="13"/>
      <c r="F93" s="13">
        <f>2/2*4000</f>
        <v>4000</v>
      </c>
      <c r="G93" s="13"/>
      <c r="H93" s="13"/>
      <c r="I93" s="13">
        <f aca="true" t="shared" si="34" ref="I93:I98">SUM(E93:H93)</f>
        <v>4000</v>
      </c>
      <c r="J93" s="10"/>
      <c r="K93" s="17">
        <f>3/3*800000</f>
        <v>800000</v>
      </c>
      <c r="L93" s="20">
        <f t="shared" si="31"/>
        <v>0.2</v>
      </c>
      <c r="M93" s="47"/>
      <c r="N93" s="10"/>
      <c r="O93" s="26"/>
      <c r="P93" s="26"/>
      <c r="Q93" s="13"/>
      <c r="R93" s="13"/>
      <c r="S93" s="13">
        <f>2/2*4000</f>
        <v>4000</v>
      </c>
      <c r="T93" s="13"/>
      <c r="U93" s="13"/>
      <c r="V93" s="13">
        <f aca="true" t="shared" si="35" ref="V93:V102">SUM(R93:U93)</f>
        <v>4000</v>
      </c>
      <c r="W93" s="8"/>
      <c r="X93" s="17">
        <f>3/3*4000000</f>
        <v>4000000</v>
      </c>
      <c r="Y93" s="20">
        <f t="shared" si="33"/>
        <v>1</v>
      </c>
    </row>
    <row r="94" spans="1:25" s="30" customFormat="1" ht="12.75">
      <c r="A94" s="1" t="s">
        <v>82</v>
      </c>
      <c r="B94" s="26"/>
      <c r="C94" s="26"/>
      <c r="D94" s="26"/>
      <c r="E94" s="13"/>
      <c r="F94" s="13">
        <f>2/2*339.1</f>
        <v>339.1</v>
      </c>
      <c r="G94" s="13"/>
      <c r="H94" s="13"/>
      <c r="I94" s="13">
        <f t="shared" si="34"/>
        <v>339.1</v>
      </c>
      <c r="J94" s="10"/>
      <c r="K94" s="17"/>
      <c r="L94" s="20">
        <f t="shared" si="31"/>
        <v>0</v>
      </c>
      <c r="M94" s="47"/>
      <c r="N94" s="10"/>
      <c r="O94" s="26"/>
      <c r="P94" s="26"/>
      <c r="Q94" s="13"/>
      <c r="R94" s="13"/>
      <c r="S94" s="13">
        <f>2/2*339.1</f>
        <v>339.1</v>
      </c>
      <c r="T94" s="13"/>
      <c r="U94" s="13"/>
      <c r="V94" s="13">
        <f t="shared" si="35"/>
        <v>339.1</v>
      </c>
      <c r="W94" s="8"/>
      <c r="X94" s="17">
        <f>3/3*339100</f>
        <v>339100</v>
      </c>
      <c r="Y94" s="20">
        <f t="shared" si="33"/>
        <v>1</v>
      </c>
    </row>
    <row r="95" spans="1:25" s="30" customFormat="1" ht="12.75">
      <c r="A95" s="115" t="s">
        <v>107</v>
      </c>
      <c r="B95" s="116"/>
      <c r="C95" s="116"/>
      <c r="D95" s="116"/>
      <c r="E95" s="117"/>
      <c r="F95" s="118">
        <f>(2/2*0+4/4)*51.7*(0+4/4)</f>
        <v>51.7</v>
      </c>
      <c r="G95" s="117"/>
      <c r="H95" s="117"/>
      <c r="I95" s="117">
        <f t="shared" si="34"/>
        <v>51.7</v>
      </c>
      <c r="J95" s="10"/>
      <c r="K95" s="119">
        <f>4/4*51700</f>
        <v>51700</v>
      </c>
      <c r="L95" s="20">
        <f t="shared" si="31"/>
        <v>1</v>
      </c>
      <c r="M95" s="47"/>
      <c r="N95" s="10"/>
      <c r="O95" s="26"/>
      <c r="P95" s="26"/>
      <c r="Q95" s="13"/>
      <c r="R95" s="13"/>
      <c r="S95" s="13">
        <f>(2/2*0+4/4)*51.7*(0+4/4)</f>
        <v>51.7</v>
      </c>
      <c r="T95" s="13"/>
      <c r="U95" s="13"/>
      <c r="V95" s="13">
        <f t="shared" si="35"/>
        <v>51.7</v>
      </c>
      <c r="W95" s="8"/>
      <c r="X95" s="17">
        <f>(3/3*0+4/4)*51700*(0+4/4)</f>
        <v>51700</v>
      </c>
      <c r="Y95" s="20">
        <f t="shared" si="33"/>
        <v>1</v>
      </c>
    </row>
    <row r="96" spans="1:25" s="30" customFormat="1" ht="24">
      <c r="A96" s="115" t="s">
        <v>103</v>
      </c>
      <c r="B96" s="116"/>
      <c r="C96" s="116"/>
      <c r="D96" s="116"/>
      <c r="E96" s="117"/>
      <c r="F96" s="117">
        <f>2/2*50</f>
        <v>50</v>
      </c>
      <c r="G96" s="117"/>
      <c r="H96" s="117"/>
      <c r="I96" s="117">
        <f t="shared" si="34"/>
        <v>50</v>
      </c>
      <c r="J96" s="10"/>
      <c r="K96" s="17">
        <f>3/3*24000*0+4/4*36200</f>
        <v>36200</v>
      </c>
      <c r="L96" s="20">
        <f t="shared" si="31"/>
        <v>0.724</v>
      </c>
      <c r="M96" s="47"/>
      <c r="N96" s="10"/>
      <c r="O96" s="26"/>
      <c r="P96" s="26"/>
      <c r="Q96" s="13"/>
      <c r="R96" s="13"/>
      <c r="S96" s="13">
        <f>2/2*50</f>
        <v>50</v>
      </c>
      <c r="T96" s="13"/>
      <c r="U96" s="13"/>
      <c r="V96" s="13">
        <f t="shared" si="35"/>
        <v>50</v>
      </c>
      <c r="W96" s="8"/>
      <c r="X96" s="17">
        <f>3/3*50000</f>
        <v>50000</v>
      </c>
      <c r="Y96" s="20">
        <f t="shared" si="33"/>
        <v>1</v>
      </c>
    </row>
    <row r="97" spans="1:25" s="30" customFormat="1" ht="12.75">
      <c r="A97" s="115" t="s">
        <v>102</v>
      </c>
      <c r="B97" s="116"/>
      <c r="C97" s="116"/>
      <c r="D97" s="116"/>
      <c r="E97" s="117"/>
      <c r="F97" s="117">
        <f>2/2*99</f>
        <v>99</v>
      </c>
      <c r="G97" s="117"/>
      <c r="H97" s="117"/>
      <c r="I97" s="117">
        <f t="shared" si="34"/>
        <v>99</v>
      </c>
      <c r="J97" s="10"/>
      <c r="K97" s="17"/>
      <c r="L97" s="20">
        <f t="shared" si="31"/>
        <v>0</v>
      </c>
      <c r="M97" s="47"/>
      <c r="N97" s="10"/>
      <c r="O97" s="26"/>
      <c r="P97" s="26"/>
      <c r="Q97" s="13"/>
      <c r="R97" s="13"/>
      <c r="S97" s="13">
        <f>2/2*99</f>
        <v>99</v>
      </c>
      <c r="T97" s="13"/>
      <c r="U97" s="13"/>
      <c r="V97" s="13">
        <f t="shared" si="35"/>
        <v>99</v>
      </c>
      <c r="W97" s="8"/>
      <c r="X97" s="17">
        <f>3/3*99000</f>
        <v>99000</v>
      </c>
      <c r="Y97" s="20">
        <f t="shared" si="33"/>
        <v>1</v>
      </c>
    </row>
    <row r="98" spans="1:25" s="30" customFormat="1" ht="12.75">
      <c r="A98" s="115" t="s">
        <v>151</v>
      </c>
      <c r="B98" s="116"/>
      <c r="C98" s="116"/>
      <c r="D98" s="116"/>
      <c r="E98" s="117"/>
      <c r="F98" s="117">
        <f>4/4*105</f>
        <v>105</v>
      </c>
      <c r="G98" s="117"/>
      <c r="H98" s="117"/>
      <c r="I98" s="117">
        <f t="shared" si="34"/>
        <v>105</v>
      </c>
      <c r="J98" s="10"/>
      <c r="K98" s="17">
        <f>3/3*32646</f>
        <v>32646</v>
      </c>
      <c r="L98" s="20">
        <f t="shared" si="31"/>
        <v>0.3109142857142857</v>
      </c>
      <c r="M98" s="47"/>
      <c r="N98" s="10"/>
      <c r="O98" s="26"/>
      <c r="P98" s="26"/>
      <c r="Q98" s="13"/>
      <c r="R98" s="13"/>
      <c r="S98" s="13">
        <f>4/4*105</f>
        <v>105</v>
      </c>
      <c r="T98" s="13"/>
      <c r="U98" s="13"/>
      <c r="V98" s="13">
        <f t="shared" si="35"/>
        <v>105</v>
      </c>
      <c r="W98" s="10"/>
      <c r="X98" s="17">
        <f>4/4*105000</f>
        <v>105000</v>
      </c>
      <c r="Y98" s="20">
        <f t="shared" si="33"/>
        <v>1</v>
      </c>
    </row>
    <row r="99" spans="1:25" s="30" customFormat="1" ht="12.75">
      <c r="A99" s="115" t="s">
        <v>130</v>
      </c>
      <c r="B99" s="116"/>
      <c r="C99" s="116"/>
      <c r="D99" s="116"/>
      <c r="E99" s="117"/>
      <c r="F99" s="117">
        <f>4/4*3000</f>
        <v>3000</v>
      </c>
      <c r="G99" s="117"/>
      <c r="H99" s="117"/>
      <c r="I99" s="117">
        <f>SUM(E99:H99)</f>
        <v>3000</v>
      </c>
      <c r="J99" s="10"/>
      <c r="K99" s="17"/>
      <c r="L99" s="20">
        <f t="shared" si="31"/>
        <v>0</v>
      </c>
      <c r="M99" s="47"/>
      <c r="N99" s="10"/>
      <c r="O99" s="26"/>
      <c r="P99" s="26"/>
      <c r="Q99" s="13"/>
      <c r="R99" s="13"/>
      <c r="S99" s="13">
        <f>4/4*3000</f>
        <v>3000</v>
      </c>
      <c r="T99" s="13"/>
      <c r="U99" s="13"/>
      <c r="V99" s="13">
        <f t="shared" si="35"/>
        <v>3000</v>
      </c>
      <c r="W99" s="8"/>
      <c r="X99" s="17"/>
      <c r="Y99" s="20">
        <f t="shared" si="33"/>
        <v>0</v>
      </c>
    </row>
    <row r="100" spans="1:25" s="30" customFormat="1" ht="12.75">
      <c r="A100" s="115" t="s">
        <v>131</v>
      </c>
      <c r="B100" s="116"/>
      <c r="C100" s="116"/>
      <c r="D100" s="116"/>
      <c r="E100" s="117"/>
      <c r="F100" s="117">
        <f>4/4*6000</f>
        <v>6000</v>
      </c>
      <c r="G100" s="117"/>
      <c r="H100" s="117"/>
      <c r="I100" s="117">
        <f>SUM(E100:H100)</f>
        <v>6000</v>
      </c>
      <c r="J100" s="10"/>
      <c r="K100" s="17"/>
      <c r="L100" s="20">
        <f t="shared" si="31"/>
        <v>0</v>
      </c>
      <c r="M100" s="47"/>
      <c r="N100" s="10"/>
      <c r="O100" s="26"/>
      <c r="P100" s="26"/>
      <c r="Q100" s="13"/>
      <c r="R100" s="13"/>
      <c r="S100" s="13">
        <f>4/4*6000</f>
        <v>6000</v>
      </c>
      <c r="T100" s="13"/>
      <c r="U100" s="13"/>
      <c r="V100" s="13">
        <f t="shared" si="35"/>
        <v>6000</v>
      </c>
      <c r="W100" s="8"/>
      <c r="X100" s="17"/>
      <c r="Y100" s="20">
        <f t="shared" si="33"/>
        <v>0</v>
      </c>
    </row>
    <row r="101" spans="1:25" s="30" customFormat="1" ht="12.75">
      <c r="A101" s="115" t="s">
        <v>132</v>
      </c>
      <c r="B101" s="116"/>
      <c r="C101" s="116"/>
      <c r="D101" s="116"/>
      <c r="E101" s="117"/>
      <c r="F101" s="117">
        <f>4/4*200</f>
        <v>200</v>
      </c>
      <c r="G101" s="117"/>
      <c r="H101" s="117"/>
      <c r="I101" s="117">
        <f>SUM(E101:H101)</f>
        <v>200</v>
      </c>
      <c r="J101" s="10"/>
      <c r="K101" s="17"/>
      <c r="L101" s="20">
        <f t="shared" si="31"/>
        <v>0</v>
      </c>
      <c r="M101" s="47"/>
      <c r="N101" s="10"/>
      <c r="O101" s="26"/>
      <c r="P101" s="26"/>
      <c r="Q101" s="13"/>
      <c r="R101" s="13"/>
      <c r="S101" s="13">
        <f>4/4*200</f>
        <v>200</v>
      </c>
      <c r="T101" s="13"/>
      <c r="U101" s="13"/>
      <c r="V101" s="13">
        <f t="shared" si="35"/>
        <v>200</v>
      </c>
      <c r="W101" s="8"/>
      <c r="X101" s="17"/>
      <c r="Y101" s="20">
        <f t="shared" si="33"/>
        <v>0</v>
      </c>
    </row>
    <row r="102" spans="1:25" s="30" customFormat="1" ht="12.75">
      <c r="A102" s="115" t="s">
        <v>133</v>
      </c>
      <c r="B102" s="116"/>
      <c r="C102" s="116"/>
      <c r="D102" s="116"/>
      <c r="E102" s="117"/>
      <c r="F102" s="117">
        <f>4/4*800</f>
        <v>800</v>
      </c>
      <c r="G102" s="117"/>
      <c r="H102" s="117"/>
      <c r="I102" s="117">
        <f>SUM(E102:H102)</f>
        <v>800</v>
      </c>
      <c r="J102" s="10"/>
      <c r="K102" s="17"/>
      <c r="L102" s="20">
        <f t="shared" si="31"/>
        <v>0</v>
      </c>
      <c r="M102" s="47"/>
      <c r="N102" s="10"/>
      <c r="O102" s="26"/>
      <c r="P102" s="26"/>
      <c r="Q102" s="13"/>
      <c r="R102" s="13"/>
      <c r="S102" s="13">
        <f>4/4*800</f>
        <v>800</v>
      </c>
      <c r="T102" s="13"/>
      <c r="U102" s="13"/>
      <c r="V102" s="13">
        <f t="shared" si="35"/>
        <v>800</v>
      </c>
      <c r="W102" s="8"/>
      <c r="X102" s="17"/>
      <c r="Y102" s="20">
        <f t="shared" si="33"/>
        <v>0</v>
      </c>
    </row>
    <row r="103" spans="1:25" s="30" customFormat="1" ht="12.75">
      <c r="A103" s="1"/>
      <c r="B103" s="26"/>
      <c r="C103" s="26"/>
      <c r="D103" s="26"/>
      <c r="E103" s="13"/>
      <c r="F103" s="13"/>
      <c r="G103" s="13"/>
      <c r="H103" s="13"/>
      <c r="I103" s="13"/>
      <c r="J103" s="10"/>
      <c r="K103" s="17"/>
      <c r="L103" s="20"/>
      <c r="M103" s="47"/>
      <c r="N103" s="10"/>
      <c r="O103" s="26"/>
      <c r="P103" s="26"/>
      <c r="Q103" s="13"/>
      <c r="R103" s="13"/>
      <c r="S103" s="13"/>
      <c r="T103" s="13"/>
      <c r="U103" s="13"/>
      <c r="V103" s="13"/>
      <c r="W103" s="8"/>
      <c r="X103" s="17"/>
      <c r="Y103" s="20"/>
    </row>
    <row r="104" spans="1:25" s="30" customFormat="1" ht="12.75">
      <c r="A104" s="5" t="s">
        <v>60</v>
      </c>
      <c r="B104" s="6">
        <f>SUM(B20:B103)/2</f>
        <v>143915</v>
      </c>
      <c r="C104" s="6">
        <f>SUM(C20:C103)/2</f>
        <v>174941.94999999998</v>
      </c>
      <c r="D104" s="6">
        <f>SUM(D20:D103)/2</f>
        <v>167336.5</v>
      </c>
      <c r="E104" s="7">
        <f>SUM(E84:E103)</f>
        <v>0</v>
      </c>
      <c r="F104" s="7">
        <f>SUM(F84:F103)</f>
        <v>38763.299999999996</v>
      </c>
      <c r="G104" s="7">
        <f>SUM(G84:G103)</f>
        <v>0</v>
      </c>
      <c r="H104" s="7"/>
      <c r="I104" s="7">
        <f>SUM(I84:I103)</f>
        <v>38763.299999999996</v>
      </c>
      <c r="J104" s="81"/>
      <c r="K104" s="19">
        <f>SUM(K84:K103)</f>
        <v>8455684</v>
      </c>
      <c r="L104" s="23">
        <f>K104/(I104*1000)</f>
        <v>0.21813632998222549</v>
      </c>
      <c r="M104" s="49"/>
      <c r="N104" s="45"/>
      <c r="O104" s="26"/>
      <c r="P104" s="26"/>
      <c r="Q104" s="13"/>
      <c r="R104" s="7">
        <f>SUM(R84:R103)</f>
        <v>0</v>
      </c>
      <c r="S104" s="7">
        <f>SUM(S84:S103)</f>
        <v>38763.299999999996</v>
      </c>
      <c r="T104" s="7">
        <f>SUM(T84:T103)</f>
        <v>0</v>
      </c>
      <c r="U104" s="7"/>
      <c r="V104" s="7">
        <f>SUM(V84:V103)</f>
        <v>38763.299999999996</v>
      </c>
      <c r="W104" s="8"/>
      <c r="X104" s="61">
        <f>SUM(X84:X103)</f>
        <v>14055354</v>
      </c>
      <c r="Y104" s="23">
        <f>X104/(V104*1000)</f>
        <v>0.36259436116120153</v>
      </c>
    </row>
    <row r="105" spans="1:25" s="30" customFormat="1" ht="12.75">
      <c r="A105" s="1"/>
      <c r="B105" s="26"/>
      <c r="C105" s="26"/>
      <c r="D105" s="26"/>
      <c r="E105" s="13"/>
      <c r="F105" s="13"/>
      <c r="G105" s="13"/>
      <c r="H105" s="13"/>
      <c r="I105" s="13"/>
      <c r="J105" s="10"/>
      <c r="K105" s="17"/>
      <c r="L105" s="20"/>
      <c r="M105" s="47"/>
      <c r="N105" s="10"/>
      <c r="O105" s="26"/>
      <c r="P105" s="26"/>
      <c r="Q105" s="13"/>
      <c r="R105" s="13"/>
      <c r="S105" s="13"/>
      <c r="T105" s="13"/>
      <c r="U105" s="13"/>
      <c r="V105" s="13"/>
      <c r="W105" s="8"/>
      <c r="X105" s="17"/>
      <c r="Y105" s="20"/>
    </row>
    <row r="106" spans="1:25" s="30" customFormat="1" ht="12.75">
      <c r="A106" s="35" t="s">
        <v>62</v>
      </c>
      <c r="B106" s="36">
        <f>SUM(B22:B105)/2</f>
        <v>215372.5</v>
      </c>
      <c r="C106" s="36">
        <f>SUM(C22:C105)/2</f>
        <v>261830.425</v>
      </c>
      <c r="D106" s="36">
        <f>SUM(D22:D105)/2</f>
        <v>250421.8</v>
      </c>
      <c r="E106" s="37">
        <f>E80+E104</f>
        <v>81875</v>
      </c>
      <c r="F106" s="37">
        <f>F80+F104</f>
        <v>38763.299999999996</v>
      </c>
      <c r="G106" s="37">
        <f>G80+G104</f>
        <v>2341</v>
      </c>
      <c r="H106" s="37"/>
      <c r="I106" s="37">
        <f>I80+I104</f>
        <v>122979.29999999999</v>
      </c>
      <c r="J106" s="120"/>
      <c r="K106" s="121">
        <f>K80+K104</f>
        <v>30346700.71</v>
      </c>
      <c r="L106" s="38">
        <f>K106/(E106*1000)</f>
        <v>0.37064672622900763</v>
      </c>
      <c r="M106" s="50"/>
      <c r="N106" s="10"/>
      <c r="O106" s="26"/>
      <c r="P106" s="26"/>
      <c r="Q106" s="13"/>
      <c r="R106" s="37">
        <f>R80+R104</f>
        <v>81875.00000496913</v>
      </c>
      <c r="S106" s="37">
        <f>S80+S104</f>
        <v>38763.299999999996</v>
      </c>
      <c r="T106" s="37">
        <f>T80+T104</f>
        <v>2341</v>
      </c>
      <c r="U106" s="37"/>
      <c r="V106" s="37">
        <f>V80+V104</f>
        <v>122979.30000496912</v>
      </c>
      <c r="W106" s="8"/>
      <c r="X106" s="62">
        <f>X80+X104</f>
        <v>33747306.879999995</v>
      </c>
      <c r="Y106" s="38">
        <f>X106/(R106*1000)</f>
        <v>0.41218084736429694</v>
      </c>
    </row>
    <row r="107" spans="1:25" s="30" customFormat="1" ht="12.75">
      <c r="A107" s="1"/>
      <c r="B107" s="26"/>
      <c r="C107" s="26"/>
      <c r="D107" s="26"/>
      <c r="E107" s="13"/>
      <c r="F107" s="13"/>
      <c r="G107" s="13"/>
      <c r="H107" s="13"/>
      <c r="I107" s="13"/>
      <c r="J107" s="10"/>
      <c r="K107" s="17"/>
      <c r="L107" s="20"/>
      <c r="M107" s="47"/>
      <c r="N107" s="10"/>
      <c r="O107" s="26"/>
      <c r="P107" s="26"/>
      <c r="Q107" s="13"/>
      <c r="R107" s="13"/>
      <c r="S107" s="13"/>
      <c r="T107" s="13"/>
      <c r="U107" s="13"/>
      <c r="V107" s="13"/>
      <c r="W107" s="8"/>
      <c r="X107" s="17"/>
      <c r="Y107" s="20"/>
    </row>
    <row r="108" spans="1:25" s="30" customFormat="1" ht="12.75">
      <c r="A108" s="1"/>
      <c r="B108" s="26"/>
      <c r="C108" s="26"/>
      <c r="D108" s="26"/>
      <c r="E108" s="13"/>
      <c r="F108" s="13"/>
      <c r="G108" s="13"/>
      <c r="H108" s="13"/>
      <c r="I108" s="17">
        <f>4/4*(221779.4-99663)*0+5/5*122979.3-I106</f>
        <v>0</v>
      </c>
      <c r="J108" s="10"/>
      <c r="K108" s="17">
        <f>(6874101.73-3669034+2/2*8120068.87)*0+2/2*(22708837.7-11383701.1)*0+3/3*(45311290.68-22142988.1)*0+4/4*(62279430.44-31932729.73)-K106</f>
        <v>0</v>
      </c>
      <c r="L108" s="20"/>
      <c r="M108" s="47"/>
      <c r="N108" s="10"/>
      <c r="O108" s="26"/>
      <c r="P108" s="26"/>
      <c r="Q108" s="13"/>
      <c r="R108" s="13"/>
      <c r="S108" s="13"/>
      <c r="T108" s="13"/>
      <c r="U108" s="13"/>
      <c r="V108" s="17">
        <f>4/4*(221779.4-99663)*0+5/5*122979.3-V106</f>
        <v>-4.969115252606571E-06</v>
      </c>
      <c r="W108" s="8"/>
      <c r="X108" s="17">
        <f>(11066609-3669034+2/2*5812577.71)*0+(24593853.81-11383701.1)*0+3/3*(49113077.73-22142988.1)*0+4/4*(65680036.61-31932729.73)-X106</f>
        <v>0</v>
      </c>
      <c r="Y108" s="20"/>
    </row>
    <row r="110" spans="22:24" ht="12.75">
      <c r="V110" s="119" t="s">
        <v>95</v>
      </c>
      <c r="W110" s="122"/>
      <c r="X110" s="119">
        <f>X106-K106</f>
        <v>3400606.1699999943</v>
      </c>
    </row>
    <row r="111" ht="12.75">
      <c r="X111" s="17">
        <f>4/4*65680036.61-62279430.44-X110</f>
        <v>7.450580596923828E-09</v>
      </c>
    </row>
    <row r="113" spans="5:22" ht="15">
      <c r="E113" s="135" t="s">
        <v>152</v>
      </c>
      <c r="F113" s="123"/>
      <c r="G113" s="123"/>
      <c r="H113" s="123"/>
      <c r="I113" s="123"/>
      <c r="M113" s="124"/>
      <c r="N113" s="125"/>
      <c r="O113" s="126"/>
      <c r="P113" s="10"/>
      <c r="Q113" s="127"/>
      <c r="R113" s="127"/>
      <c r="S113" s="123"/>
      <c r="T113" s="123"/>
      <c r="U113" s="123"/>
      <c r="V113" s="123"/>
    </row>
  </sheetData>
  <mergeCells count="6">
    <mergeCell ref="K3:L3"/>
    <mergeCell ref="B1:L1"/>
    <mergeCell ref="X3:Y3"/>
    <mergeCell ref="F2:I2"/>
    <mergeCell ref="S2:V2"/>
    <mergeCell ref="O1:Y1"/>
  </mergeCells>
  <printOptions gridLines="1"/>
  <pageMargins left="0.1968503937007874" right="0" top="0.7874015748031497" bottom="0.5905511811023623" header="0.5118110236220472" footer="0.31496062992125984"/>
  <pageSetup horizontalDpi="600" verticalDpi="600" orientation="landscape" paperSize="9" scale="70" r:id="rId1"/>
  <headerFooter alignWithMargins="0">
    <oddHeader xml:space="preserve">&amp;L&amp;"Arial,tučné kurzíva"&amp;14Úprava rozpočtu MČ P 16 5/2010&amp;R&amp;"Arial,tučné kurzíva"ZMČ 16. 6. 2010 příl 2 </oddHeader>
    <oddFooter>&amp;L&amp;F&amp;R&amp;P</oddFooter>
  </headerFooter>
  <rowBreaks count="2" manualBreakCount="2">
    <brk id="42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2010-07-12T10:08:56Z</cp:lastPrinted>
  <dcterms:created xsi:type="dcterms:W3CDTF">2009-11-29T19:02:18Z</dcterms:created>
  <dcterms:modified xsi:type="dcterms:W3CDTF">2010-07-12T10:19:35Z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