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30" windowWidth="14190" windowHeight="655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'List1'!$2:$3</definedName>
  </definedNames>
  <calcPr fullCalcOnLoad="1"/>
</workbook>
</file>

<file path=xl/sharedStrings.xml><?xml version="1.0" encoding="utf-8"?>
<sst xmlns="http://schemas.openxmlformats.org/spreadsheetml/2006/main" count="119" uniqueCount="104">
  <si>
    <t>V Ý D A J E</t>
  </si>
  <si>
    <t>P Ř Í J M Y</t>
  </si>
  <si>
    <t>UR stát, HMP</t>
  </si>
  <si>
    <t>2141 úroky</t>
  </si>
  <si>
    <t>4112 dotace stát:</t>
  </si>
  <si>
    <t>2460 splátky půjček SFZ</t>
  </si>
  <si>
    <t>1341-5,7,51 místní poplatky</t>
  </si>
  <si>
    <t>1361 správní poplatky</t>
  </si>
  <si>
    <t>1511 daň z nemovitostí</t>
  </si>
  <si>
    <t>4121 HMP dotace</t>
  </si>
  <si>
    <t>4131 z účtu ekon.činnosti</t>
  </si>
  <si>
    <t>3636 územní rozvoj</t>
  </si>
  <si>
    <t>3639 komun.služby</t>
  </si>
  <si>
    <t>3421 dětská hřiště</t>
  </si>
  <si>
    <t>3745 veřejná zeleň</t>
  </si>
  <si>
    <t>2212 silnice</t>
  </si>
  <si>
    <t>2219 ost.zál.komun</t>
  </si>
  <si>
    <t>3111 mat.škola</t>
  </si>
  <si>
    <t>3113 zákl.škola</t>
  </si>
  <si>
    <t>3141 škol.jídelna</t>
  </si>
  <si>
    <t>3231 zákl.uměl.</t>
  </si>
  <si>
    <t>4351/1,2 domy s peč.sl</t>
  </si>
  <si>
    <t>4351/4 přísp.stravné</t>
  </si>
  <si>
    <t>4351 peč.služba</t>
  </si>
  <si>
    <t>3541 prevence</t>
  </si>
  <si>
    <t>4185 za 2011</t>
  </si>
  <si>
    <t>4319 soc. péče</t>
  </si>
  <si>
    <t>4329 péče o mládež</t>
  </si>
  <si>
    <t>4359 ost.soc</t>
  </si>
  <si>
    <t>4379 péče o seniory</t>
  </si>
  <si>
    <t>3313 kino</t>
  </si>
  <si>
    <t>3314 knihovna</t>
  </si>
  <si>
    <t>3319 kult.střed</t>
  </si>
  <si>
    <t>3319 kronika,letopis</t>
  </si>
  <si>
    <t>3319 kult.akce</t>
  </si>
  <si>
    <t>3412 sport.zař</t>
  </si>
  <si>
    <t>5512 dobrov.hasiči</t>
  </si>
  <si>
    <t>3612 bytové hosp.</t>
  </si>
  <si>
    <t>3639,3632 techn.sl</t>
  </si>
  <si>
    <t>08      HOSPODÁŘSTVÍ</t>
  </si>
  <si>
    <t>6112 ZMČ</t>
  </si>
  <si>
    <t>6171 úřad provoz</t>
  </si>
  <si>
    <t>6171 objekty 21,23,732</t>
  </si>
  <si>
    <t>investiční akce</t>
  </si>
  <si>
    <t>kulturní akce</t>
  </si>
  <si>
    <t>různé organizační</t>
  </si>
  <si>
    <t>volby</t>
  </si>
  <si>
    <t>10                              FINANCOVÁNÍ</t>
  </si>
  <si>
    <t>MČ CELKEM</t>
  </si>
  <si>
    <r>
      <t>2310</t>
    </r>
    <r>
      <rPr>
        <sz val="8"/>
        <rFont val="Arial"/>
        <family val="2"/>
      </rPr>
      <t xml:space="preserve"> voda </t>
    </r>
    <r>
      <rPr>
        <sz val="9"/>
        <rFont val="Arial"/>
        <family val="2"/>
      </rPr>
      <t>2321</t>
    </r>
    <r>
      <rPr>
        <sz val="8"/>
        <rFont val="Arial"/>
        <family val="2"/>
      </rPr>
      <t xml:space="preserve"> odp. voda </t>
    </r>
    <r>
      <rPr>
        <sz val="9"/>
        <rFont val="Arial"/>
        <family val="2"/>
      </rPr>
      <t>3722</t>
    </r>
    <r>
      <rPr>
        <sz val="8"/>
        <rFont val="Arial"/>
        <family val="2"/>
      </rPr>
      <t xml:space="preserve"> odpady</t>
    </r>
  </si>
  <si>
    <t xml:space="preserve">    soc. služby</t>
  </si>
  <si>
    <t xml:space="preserve">    prevence SO P 16</t>
  </si>
  <si>
    <t>3539 zdrav zařízení</t>
  </si>
  <si>
    <t xml:space="preserve">   výkon agendy SPOD</t>
  </si>
  <si>
    <t xml:space="preserve">   zkoušky odb.způsob</t>
  </si>
  <si>
    <t xml:space="preserve">   likvidace povodň.škod</t>
  </si>
  <si>
    <t>4121 dotace HMP:</t>
  </si>
  <si>
    <t>HMP aktivity soc.služeb</t>
  </si>
  <si>
    <t>HMP přísp.na provoz</t>
  </si>
  <si>
    <t>HMP likvidace povodň.škod</t>
  </si>
  <si>
    <t>4116 dotace stát:</t>
  </si>
  <si>
    <t xml:space="preserve">      Povodňový fond MČ</t>
  </si>
  <si>
    <t xml:space="preserve"> FV 2012</t>
  </si>
  <si>
    <t>07    B E Z P E Č N O S T</t>
  </si>
  <si>
    <t>06    KULTURA  A  SPORT</t>
  </si>
  <si>
    <t>04   Š K O L S T V Í</t>
  </si>
  <si>
    <t>05    SOC. A  ZDRAV.</t>
  </si>
  <si>
    <t>01  Ú Z E M N Í  R O Z V O J</t>
  </si>
  <si>
    <t>02   INFRASTRUKTURA</t>
  </si>
  <si>
    <t>03   D O P R A V A</t>
  </si>
  <si>
    <r>
      <t>221</t>
    </r>
    <r>
      <rPr>
        <sz val="8"/>
        <rFont val="Arial"/>
        <family val="2"/>
      </rPr>
      <t>2</t>
    </r>
    <r>
      <rPr>
        <sz val="8"/>
        <rFont val="Arial"/>
        <family val="2"/>
      </rPr>
      <t xml:space="preserve"> sankce</t>
    </r>
  </si>
  <si>
    <r>
      <t>dary</t>
    </r>
    <r>
      <rPr>
        <sz val="8"/>
        <rFont val="Arial"/>
        <family val="2"/>
      </rPr>
      <t xml:space="preserve"> 2321 neinv 3121 inv 4129 SO</t>
    </r>
  </si>
  <si>
    <t>Návrh UR 2014</t>
  </si>
  <si>
    <r>
      <t xml:space="preserve">UR </t>
    </r>
    <r>
      <rPr>
        <sz val="9"/>
        <rFont val="Arial"/>
        <family val="2"/>
      </rPr>
      <t>2014</t>
    </r>
  </si>
  <si>
    <t xml:space="preserve"> rozdíl příjmů a výdajů:</t>
  </si>
  <si>
    <t>účelová dotace HMP</t>
  </si>
  <si>
    <t>4121 výnos DPPO za 2013</t>
  </si>
  <si>
    <r>
      <t>4121 výnos loterie</t>
    </r>
    <r>
      <rPr>
        <sz val="7"/>
        <rFont val="Arial"/>
        <family val="2"/>
      </rPr>
      <t xml:space="preserve"> HMP 3 Q 2013 doplatek</t>
    </r>
  </si>
  <si>
    <r>
      <t>3722</t>
    </r>
    <r>
      <rPr>
        <sz val="8"/>
        <rFont val="Arial"/>
        <family val="2"/>
      </rPr>
      <t xml:space="preserve"> odpady provoz Sběrného dvora</t>
    </r>
  </si>
  <si>
    <r>
      <t xml:space="preserve">2329 nahod </t>
    </r>
    <r>
      <rPr>
        <sz val="8"/>
        <rFont val="Arial"/>
        <family val="2"/>
      </rPr>
      <t>(z r. 2013), 2322 poj.pln</t>
    </r>
  </si>
  <si>
    <t>09    VNITŘNÍ  SPRÁVA</t>
  </si>
  <si>
    <t>Schvál. rozpočet 2014</t>
  </si>
  <si>
    <r>
      <t xml:space="preserve">  MŠ objekty údržba </t>
    </r>
    <r>
      <rPr>
        <sz val="8"/>
        <rFont val="Arial"/>
        <family val="2"/>
      </rPr>
      <t>výnos z loterií</t>
    </r>
    <r>
      <rPr>
        <sz val="7"/>
        <rFont val="Arial"/>
        <family val="2"/>
      </rPr>
      <t xml:space="preserve"> dopl. 3Q 2013</t>
    </r>
  </si>
  <si>
    <r>
      <t xml:space="preserve">  ZŠ objekty údržba </t>
    </r>
    <r>
      <rPr>
        <sz val="8"/>
        <rFont val="Arial"/>
        <family val="2"/>
      </rPr>
      <t>výnos z loterií</t>
    </r>
    <r>
      <rPr>
        <sz val="7"/>
        <rFont val="Arial"/>
        <family val="2"/>
      </rPr>
      <t xml:space="preserve"> dopl. 3Q 2013</t>
    </r>
  </si>
  <si>
    <r>
      <t xml:space="preserve">  4319 nezisk.org </t>
    </r>
    <r>
      <rPr>
        <sz val="8"/>
        <rFont val="Arial"/>
        <family val="2"/>
      </rPr>
      <t>výnos z loterií</t>
    </r>
    <r>
      <rPr>
        <sz val="7"/>
        <rFont val="Arial"/>
        <family val="2"/>
      </rPr>
      <t xml:space="preserve"> dopl. 3Q 2013</t>
    </r>
  </si>
  <si>
    <r>
      <t xml:space="preserve">  </t>
    </r>
    <r>
      <rPr>
        <sz val="9"/>
        <rFont val="Arial"/>
        <family val="2"/>
      </rPr>
      <t xml:space="preserve">4399 pěstounská péče                     </t>
    </r>
    <r>
      <rPr>
        <sz val="9"/>
        <rFont val="Arial"/>
        <family val="2"/>
      </rPr>
      <t>4359 péče soc.péče</t>
    </r>
  </si>
  <si>
    <r>
      <t xml:space="preserve">   3421 Dětská hřiště </t>
    </r>
    <r>
      <rPr>
        <sz val="8"/>
        <rFont val="Arial"/>
        <family val="2"/>
      </rPr>
      <t>výnos z loterií</t>
    </r>
  </si>
  <si>
    <t>UR ZMČ 18/06</t>
  </si>
  <si>
    <t>3113 Zákl.škola prevence UZ 33122</t>
  </si>
  <si>
    <t>4339 pěstounská péče</t>
  </si>
  <si>
    <t>6171 pěstounská péče mzd.nákl</t>
  </si>
  <si>
    <t>6171 výkon SPOD</t>
  </si>
  <si>
    <t xml:space="preserve"> účel.dotace stát</t>
  </si>
  <si>
    <t>3113 Zákl.škola prevence UZ 081</t>
  </si>
  <si>
    <t xml:space="preserve"> účel.dotace HMP</t>
  </si>
  <si>
    <t>Soc.služby pro SO P 16 UZ 081</t>
  </si>
  <si>
    <t>6171 ÚMČ Zkoušky odb.způs.</t>
  </si>
  <si>
    <t>3113 Zákl.škola integrace UZ 081</t>
  </si>
  <si>
    <t>účelová inv.dotace HMP</t>
  </si>
  <si>
    <t>2339 Lávka přes Ber UZ 084</t>
  </si>
  <si>
    <t>3314 knihovna VISK 3</t>
  </si>
  <si>
    <t xml:space="preserve"> účel.dotace stát MinKult</t>
  </si>
  <si>
    <t>2322 poj.plnění</t>
  </si>
  <si>
    <t>2329 nahodilé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</si>
</sst>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2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sz val="7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i/>
      <sz val="8"/>
      <name val="Arial CE"/>
      <family val="2"/>
    </font>
    <font>
      <sz val="10"/>
      <color indexed="12"/>
      <name val="Arial"/>
      <family val="2"/>
    </font>
    <font>
      <sz val="8"/>
      <color indexed="17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ck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wrapText="1"/>
    </xf>
    <xf numFmtId="164" fontId="1" fillId="33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164" fontId="1" fillId="34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8" fillId="33" borderId="13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8" fillId="34" borderId="14" xfId="0" applyFont="1" applyFill="1" applyBorder="1" applyAlignment="1">
      <alignment wrapText="1"/>
    </xf>
    <xf numFmtId="0" fontId="7" fillId="0" borderId="0" xfId="0" applyFont="1" applyAlignment="1">
      <alignment wrapText="1"/>
    </xf>
    <xf numFmtId="3" fontId="7" fillId="0" borderId="13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/>
    </xf>
    <xf numFmtId="4" fontId="9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4" fontId="10" fillId="0" borderId="17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wrapText="1"/>
    </xf>
    <xf numFmtId="4" fontId="9" fillId="0" borderId="18" xfId="0" applyNumberFormat="1" applyFont="1" applyFill="1" applyBorder="1" applyAlignment="1">
      <alignment horizontal="center" wrapText="1"/>
    </xf>
    <xf numFmtId="0" fontId="7" fillId="0" borderId="19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6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center"/>
    </xf>
    <xf numFmtId="164" fontId="12" fillId="0" borderId="20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9" fillId="0" borderId="16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3" fontId="9" fillId="0" borderId="16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164" fontId="14" fillId="0" borderId="2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13" fillId="0" borderId="16" xfId="0" applyNumberFormat="1" applyFont="1" applyFill="1" applyBorder="1" applyAlignment="1">
      <alignment wrapText="1"/>
    </xf>
    <xf numFmtId="164" fontId="12" fillId="0" borderId="10" xfId="0" applyNumberFormat="1" applyFont="1" applyFill="1" applyBorder="1" applyAlignment="1">
      <alignment wrapText="1"/>
    </xf>
    <xf numFmtId="3" fontId="9" fillId="0" borderId="16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164" fontId="12" fillId="0" borderId="20" xfId="0" applyNumberFormat="1" applyFont="1" applyFill="1" applyBorder="1" applyAlignment="1">
      <alignment wrapText="1"/>
    </xf>
    <xf numFmtId="164" fontId="0" fillId="0" borderId="20" xfId="0" applyNumberFormat="1" applyFont="1" applyFill="1" applyBorder="1" applyAlignment="1">
      <alignment/>
    </xf>
    <xf numFmtId="164" fontId="15" fillId="0" borderId="16" xfId="0" applyNumberFormat="1" applyFont="1" applyFill="1" applyBorder="1" applyAlignment="1">
      <alignment wrapText="1"/>
    </xf>
    <xf numFmtId="164" fontId="0" fillId="0" borderId="20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164" fontId="2" fillId="34" borderId="21" xfId="0" applyNumberFormat="1" applyFont="1" applyFill="1" applyBorder="1" applyAlignment="1">
      <alignment/>
    </xf>
    <xf numFmtId="164" fontId="1" fillId="34" borderId="22" xfId="0" applyNumberFormat="1" applyFont="1" applyFill="1" applyBorder="1" applyAlignment="1">
      <alignment/>
    </xf>
    <xf numFmtId="164" fontId="1" fillId="34" borderId="23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1" fillId="34" borderId="24" xfId="0" applyNumberFormat="1" applyFont="1" applyFill="1" applyBorder="1" applyAlignment="1">
      <alignment/>
    </xf>
    <xf numFmtId="164" fontId="1" fillId="34" borderId="25" xfId="0" applyNumberFormat="1" applyFont="1" applyFill="1" applyBorder="1" applyAlignment="1">
      <alignment/>
    </xf>
    <xf numFmtId="164" fontId="2" fillId="0" borderId="26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/>
    </xf>
    <xf numFmtId="164" fontId="13" fillId="0" borderId="16" xfId="0" applyNumberFormat="1" applyFont="1" applyFill="1" applyBorder="1" applyAlignment="1">
      <alignment wrapText="1"/>
    </xf>
    <xf numFmtId="164" fontId="8" fillId="34" borderId="27" xfId="0" applyNumberFormat="1" applyFont="1" applyFill="1" applyBorder="1" applyAlignment="1">
      <alignment wrapText="1"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1" fillId="34" borderId="1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/>
    </xf>
    <xf numFmtId="164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wrapText="1"/>
    </xf>
    <xf numFmtId="0" fontId="7" fillId="0" borderId="13" xfId="0" applyFon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center" wrapText="1"/>
    </xf>
    <xf numFmtId="164" fontId="16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64" fontId="7" fillId="0" borderId="28" xfId="0" applyNumberFormat="1" applyFont="1" applyFill="1" applyBorder="1" applyAlignment="1">
      <alignment wrapText="1"/>
    </xf>
    <xf numFmtId="0" fontId="4" fillId="0" borderId="29" xfId="0" applyFont="1" applyFill="1" applyBorder="1" applyAlignment="1">
      <alignment/>
    </xf>
    <xf numFmtId="164" fontId="4" fillId="0" borderId="30" xfId="0" applyNumberFormat="1" applyFont="1" applyFill="1" applyBorder="1" applyAlignment="1">
      <alignment wrapText="1"/>
    </xf>
    <xf numFmtId="0" fontId="5" fillId="0" borderId="16" xfId="0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16" fillId="0" borderId="19" xfId="0" applyNumberFormat="1" applyFont="1" applyFill="1" applyBorder="1" applyAlignment="1">
      <alignment/>
    </xf>
    <xf numFmtId="0" fontId="4" fillId="0" borderId="29" xfId="0" applyFont="1" applyFill="1" applyBorder="1" applyAlignment="1">
      <alignment wrapText="1"/>
    </xf>
    <xf numFmtId="0" fontId="4" fillId="0" borderId="16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8" xfId="0" applyNumberFormat="1" applyFont="1" applyFill="1" applyBorder="1" applyAlignment="1">
      <alignment wrapText="1"/>
    </xf>
    <xf numFmtId="0" fontId="0" fillId="0" borderId="0" xfId="0" applyNumberFormat="1" applyFont="1" applyAlignment="1">
      <alignment/>
    </xf>
    <xf numFmtId="0" fontId="7" fillId="0" borderId="10" xfId="0" applyNumberFormat="1" applyFont="1" applyFill="1" applyBorder="1" applyAlignment="1">
      <alignment wrapText="1"/>
    </xf>
    <xf numFmtId="0" fontId="9" fillId="0" borderId="1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1" fillId="33" borderId="1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/>
    </xf>
    <xf numFmtId="0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1" fillId="34" borderId="11" xfId="0" applyNumberFormat="1" applyFont="1" applyFill="1" applyBorder="1" applyAlignment="1">
      <alignment/>
    </xf>
    <xf numFmtId="0" fontId="17" fillId="0" borderId="1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1" fillId="0" borderId="31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9" fillId="0" borderId="34" xfId="0" applyNumberFormat="1" applyFont="1" applyFill="1" applyBorder="1" applyAlignment="1">
      <alignment horizontal="center" wrapText="1"/>
    </xf>
    <xf numFmtId="0" fontId="9" fillId="0" borderId="20" xfId="0" applyNumberFormat="1" applyFont="1" applyFill="1" applyBorder="1" applyAlignment="1">
      <alignment horizontal="center" wrapText="1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73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107" sqref="T107"/>
    </sheetView>
  </sheetViews>
  <sheetFormatPr defaultColWidth="9.140625" defaultRowHeight="12.75"/>
  <cols>
    <col min="1" max="1" width="30.00390625" style="16" customWidth="1"/>
    <col min="2" max="2" width="8.8515625" style="26" customWidth="1"/>
    <col min="3" max="3" width="8.7109375" style="106" customWidth="1"/>
    <col min="4" max="4" width="9.421875" style="127" customWidth="1"/>
    <col min="5" max="6" width="3.8515625" style="25" hidden="1" customWidth="1"/>
    <col min="7" max="7" width="8.7109375" style="26" customWidth="1"/>
    <col min="8" max="8" width="3.7109375" style="24" customWidth="1"/>
    <col min="9" max="9" width="28.57421875" style="8" customWidth="1"/>
    <col min="10" max="10" width="8.8515625" style="25" customWidth="1"/>
    <col min="11" max="11" width="8.7109375" style="106" customWidth="1"/>
    <col min="12" max="12" width="8.421875" style="127" customWidth="1"/>
    <col min="13" max="13" width="3.8515625" style="26" hidden="1" customWidth="1"/>
    <col min="14" max="14" width="3.8515625" style="25" hidden="1" customWidth="1"/>
    <col min="15" max="15" width="8.7109375" style="26" customWidth="1"/>
  </cols>
  <sheetData>
    <row r="1" ht="13.5" thickBot="1"/>
    <row r="2" spans="1:15" ht="13.5" thickTop="1">
      <c r="A2" s="9"/>
      <c r="B2" s="141" t="s">
        <v>0</v>
      </c>
      <c r="C2" s="146"/>
      <c r="D2" s="146"/>
      <c r="E2" s="146"/>
      <c r="F2" s="146"/>
      <c r="G2" s="147"/>
      <c r="H2" s="27"/>
      <c r="I2" s="21"/>
      <c r="J2" s="141" t="s">
        <v>1</v>
      </c>
      <c r="K2" s="142"/>
      <c r="L2" s="142"/>
      <c r="M2" s="142"/>
      <c r="N2" s="142"/>
      <c r="O2" s="143"/>
    </row>
    <row r="3" spans="1:15" s="105" customFormat="1" ht="36">
      <c r="A3" s="10"/>
      <c r="B3" s="28" t="s">
        <v>81</v>
      </c>
      <c r="C3" s="107" t="s">
        <v>2</v>
      </c>
      <c r="D3" s="112" t="s">
        <v>87</v>
      </c>
      <c r="E3" s="144" t="s">
        <v>73</v>
      </c>
      <c r="F3" s="145"/>
      <c r="G3" s="28" t="s">
        <v>72</v>
      </c>
      <c r="H3" s="29"/>
      <c r="I3" s="22"/>
      <c r="J3" s="28" t="s">
        <v>81</v>
      </c>
      <c r="K3" s="107" t="s">
        <v>2</v>
      </c>
      <c r="L3" s="112" t="s">
        <v>87</v>
      </c>
      <c r="M3" s="144" t="s">
        <v>73</v>
      </c>
      <c r="N3" s="145"/>
      <c r="O3" s="30" t="s">
        <v>72</v>
      </c>
    </row>
    <row r="4" spans="1:15" ht="12.75">
      <c r="A4" s="10"/>
      <c r="B4" s="28"/>
      <c r="C4" s="108"/>
      <c r="D4" s="128"/>
      <c r="E4" s="31"/>
      <c r="F4" s="31"/>
      <c r="G4" s="28"/>
      <c r="H4" s="29"/>
      <c r="I4" s="22"/>
      <c r="J4" s="28"/>
      <c r="K4" s="108"/>
      <c r="L4" s="128"/>
      <c r="M4" s="31"/>
      <c r="N4" s="31"/>
      <c r="O4" s="30"/>
    </row>
    <row r="5" spans="1:15" ht="12.75">
      <c r="A5" s="11" t="s">
        <v>11</v>
      </c>
      <c r="B5" s="32">
        <f>3000</f>
        <v>3000</v>
      </c>
      <c r="C5" s="108"/>
      <c r="D5" s="129"/>
      <c r="E5" s="31"/>
      <c r="F5" s="36"/>
      <c r="G5" s="36">
        <f>SUM(B5:E5)</f>
        <v>3000</v>
      </c>
      <c r="H5" s="33"/>
      <c r="I5" s="34"/>
      <c r="J5" s="35">
        <f>160*0+2012/2012*200*0+2013/2013*(903/903*2343/2343*-250*0+103/103*2119/2119*250)</f>
        <v>250</v>
      </c>
      <c r="K5" s="108"/>
      <c r="L5" s="129"/>
      <c r="M5" s="31"/>
      <c r="N5" s="36"/>
      <c r="O5" s="37">
        <f>SUM(J5:M5)</f>
        <v>250</v>
      </c>
    </row>
    <row r="6" spans="1:15" ht="12.75">
      <c r="A6" s="11" t="s">
        <v>12</v>
      </c>
      <c r="B6" s="32"/>
      <c r="C6" s="97"/>
      <c r="D6" s="133"/>
      <c r="E6" s="32"/>
      <c r="F6" s="32"/>
      <c r="G6" s="32"/>
      <c r="H6" s="38"/>
      <c r="I6" s="34"/>
      <c r="J6" s="39"/>
      <c r="K6" s="97"/>
      <c r="L6" s="97"/>
      <c r="M6" s="32"/>
      <c r="N6" s="32"/>
      <c r="O6" s="40"/>
    </row>
    <row r="7" spans="1:15" ht="12.75">
      <c r="A7" s="13" t="s">
        <v>67</v>
      </c>
      <c r="B7" s="2">
        <f aca="true" t="shared" si="0" ref="B7:G7">SUM(B5:B6)</f>
        <v>3000</v>
      </c>
      <c r="C7" s="95">
        <f t="shared" si="0"/>
        <v>0</v>
      </c>
      <c r="D7" s="131">
        <f t="shared" si="0"/>
        <v>0</v>
      </c>
      <c r="E7" s="2">
        <f t="shared" si="0"/>
        <v>0</v>
      </c>
      <c r="F7" s="2">
        <f t="shared" si="0"/>
        <v>0</v>
      </c>
      <c r="G7" s="2">
        <f t="shared" si="0"/>
        <v>3000</v>
      </c>
      <c r="H7" s="38"/>
      <c r="I7" s="34"/>
      <c r="J7" s="42">
        <f aca="true" t="shared" si="1" ref="J7:O7">SUM(J5:J6)</f>
        <v>250</v>
      </c>
      <c r="K7" s="96">
        <f t="shared" si="1"/>
        <v>0</v>
      </c>
      <c r="L7" s="96">
        <f t="shared" si="1"/>
        <v>0</v>
      </c>
      <c r="M7" s="2">
        <f t="shared" si="1"/>
        <v>0</v>
      </c>
      <c r="N7" s="2">
        <f t="shared" si="1"/>
        <v>0</v>
      </c>
      <c r="O7" s="43">
        <f t="shared" si="1"/>
        <v>250</v>
      </c>
    </row>
    <row r="8" spans="1:15" ht="12.75">
      <c r="A8" s="11" t="s">
        <v>13</v>
      </c>
      <c r="B8" s="32">
        <f>100</f>
        <v>100</v>
      </c>
      <c r="C8" s="108"/>
      <c r="D8" s="129"/>
      <c r="E8" s="31"/>
      <c r="F8" s="36"/>
      <c r="G8" s="36">
        <f>SUM(B8:E8)</f>
        <v>100</v>
      </c>
      <c r="H8" s="38"/>
      <c r="I8" s="34"/>
      <c r="J8" s="39"/>
      <c r="K8" s="99"/>
      <c r="L8" s="99"/>
      <c r="M8" s="44"/>
      <c r="N8" s="45"/>
      <c r="O8" s="46"/>
    </row>
    <row r="9" spans="1:15" ht="23.25">
      <c r="A9" s="11" t="s">
        <v>49</v>
      </c>
      <c r="B9" s="32">
        <v>150</v>
      </c>
      <c r="C9" s="108"/>
      <c r="D9" s="129"/>
      <c r="E9" s="31"/>
      <c r="F9" s="36"/>
      <c r="G9" s="36">
        <f>SUM(B9:E9)</f>
        <v>150</v>
      </c>
      <c r="H9" s="38"/>
      <c r="I9" s="92"/>
      <c r="J9" s="39"/>
      <c r="K9" s="99"/>
      <c r="L9" s="99"/>
      <c r="M9" s="44"/>
      <c r="N9" s="45"/>
      <c r="O9" s="46"/>
    </row>
    <row r="10" spans="1:15" ht="12.75">
      <c r="A10" s="12" t="s">
        <v>99</v>
      </c>
      <c r="B10" s="32"/>
      <c r="C10" s="113">
        <f>5/5*4000</f>
        <v>4000</v>
      </c>
      <c r="D10" s="129">
        <f>4/4*66.6</f>
        <v>66.6</v>
      </c>
      <c r="E10" s="31"/>
      <c r="F10" s="36"/>
      <c r="G10" s="115">
        <f>SUM(B10:E10)</f>
        <v>4066.6</v>
      </c>
      <c r="H10" s="38"/>
      <c r="I10" s="124" t="s">
        <v>98</v>
      </c>
      <c r="J10" s="39"/>
      <c r="K10" s="113">
        <f>5/5*4000</f>
        <v>4000</v>
      </c>
      <c r="L10" s="129"/>
      <c r="M10" s="31"/>
      <c r="N10" s="36"/>
      <c r="O10" s="122">
        <f>SUM(J10:M10)</f>
        <v>4000</v>
      </c>
    </row>
    <row r="11" spans="1:15" ht="12.75">
      <c r="A11" s="11" t="s">
        <v>78</v>
      </c>
      <c r="B11" s="32"/>
      <c r="C11" s="108">
        <v>4500</v>
      </c>
      <c r="D11" s="129"/>
      <c r="E11" s="31"/>
      <c r="F11" s="36"/>
      <c r="G11" s="36">
        <f>SUM(B11:E11)</f>
        <v>4500</v>
      </c>
      <c r="H11" s="38"/>
      <c r="I11" s="92" t="s">
        <v>75</v>
      </c>
      <c r="J11" s="39"/>
      <c r="K11" s="99">
        <f>1/1*4500</f>
        <v>4500</v>
      </c>
      <c r="L11" s="99"/>
      <c r="M11" s="44"/>
      <c r="N11" s="45"/>
      <c r="O11" s="46">
        <f>SUM(J11:M11)</f>
        <v>4500</v>
      </c>
    </row>
    <row r="12" spans="1:15" ht="12.75">
      <c r="A12" s="11" t="s">
        <v>12</v>
      </c>
      <c r="B12" s="32"/>
      <c r="C12" s="108"/>
      <c r="D12" s="129"/>
      <c r="E12" s="31"/>
      <c r="F12" s="36"/>
      <c r="G12" s="36"/>
      <c r="H12" s="38"/>
      <c r="I12" s="34"/>
      <c r="J12" s="39"/>
      <c r="K12" s="99"/>
      <c r="L12" s="99"/>
      <c r="M12" s="44"/>
      <c r="N12" s="45"/>
      <c r="O12" s="46"/>
    </row>
    <row r="13" spans="1:15" ht="12.75">
      <c r="A13" s="11" t="s">
        <v>14</v>
      </c>
      <c r="B13" s="32">
        <v>200</v>
      </c>
      <c r="C13" s="108"/>
      <c r="D13" s="129"/>
      <c r="E13" s="31"/>
      <c r="F13" s="36"/>
      <c r="G13" s="36">
        <f>SUM(B13:E13)</f>
        <v>200</v>
      </c>
      <c r="H13" s="38"/>
      <c r="I13" s="34"/>
      <c r="J13" s="39"/>
      <c r="K13" s="99"/>
      <c r="L13" s="99"/>
      <c r="M13" s="44"/>
      <c r="N13" s="45"/>
      <c r="O13" s="46"/>
    </row>
    <row r="14" spans="1:15" ht="12.75">
      <c r="A14" s="13" t="s">
        <v>68</v>
      </c>
      <c r="B14" s="2">
        <f aca="true" t="shared" si="2" ref="B14:G14">SUM(B8:B13)</f>
        <v>450</v>
      </c>
      <c r="C14" s="96">
        <f t="shared" si="2"/>
        <v>8500</v>
      </c>
      <c r="D14" s="131">
        <f t="shared" si="2"/>
        <v>66.6</v>
      </c>
      <c r="E14" s="2">
        <f t="shared" si="2"/>
        <v>0</v>
      </c>
      <c r="F14" s="2">
        <f t="shared" si="2"/>
        <v>0</v>
      </c>
      <c r="G14" s="2">
        <f t="shared" si="2"/>
        <v>9016.6</v>
      </c>
      <c r="H14" s="38"/>
      <c r="I14" s="47"/>
      <c r="J14" s="42">
        <f aca="true" t="shared" si="3" ref="J14:O14">SUM(J8:J13)</f>
        <v>0</v>
      </c>
      <c r="K14" s="96">
        <f t="shared" si="3"/>
        <v>8500</v>
      </c>
      <c r="L14" s="96">
        <f t="shared" si="3"/>
        <v>0</v>
      </c>
      <c r="M14" s="2">
        <f t="shared" si="3"/>
        <v>0</v>
      </c>
      <c r="N14" s="2">
        <f t="shared" si="3"/>
        <v>0</v>
      </c>
      <c r="O14" s="43">
        <f t="shared" si="3"/>
        <v>8500</v>
      </c>
    </row>
    <row r="15" spans="1:15" ht="12.75">
      <c r="A15" s="11" t="s">
        <v>15</v>
      </c>
      <c r="B15" s="32">
        <v>600</v>
      </c>
      <c r="C15" s="108"/>
      <c r="D15" s="129"/>
      <c r="E15" s="31"/>
      <c r="F15" s="36"/>
      <c r="G15" s="36">
        <f>SUM(B15:E15)</f>
        <v>600</v>
      </c>
      <c r="H15" s="48"/>
      <c r="I15" s="49"/>
      <c r="J15" s="39"/>
      <c r="K15" s="99"/>
      <c r="L15" s="99"/>
      <c r="M15" s="44"/>
      <c r="N15" s="45"/>
      <c r="O15" s="46"/>
    </row>
    <row r="16" spans="1:15" ht="12.75">
      <c r="A16" s="11" t="s">
        <v>16</v>
      </c>
      <c r="B16" s="32">
        <v>950</v>
      </c>
      <c r="C16" s="108"/>
      <c r="D16" s="129">
        <f>4/4*54</f>
        <v>54</v>
      </c>
      <c r="E16" s="31"/>
      <c r="F16" s="36"/>
      <c r="G16" s="36">
        <f>SUM(B16:E16)</f>
        <v>1004</v>
      </c>
      <c r="H16" s="48"/>
      <c r="I16" s="34"/>
      <c r="J16" s="39"/>
      <c r="K16" s="99"/>
      <c r="L16" s="99"/>
      <c r="M16" s="44"/>
      <c r="N16" s="45"/>
      <c r="O16" s="46"/>
    </row>
    <row r="17" spans="1:15" ht="12.75">
      <c r="A17" s="13" t="s">
        <v>69</v>
      </c>
      <c r="B17" s="2">
        <f aca="true" t="shared" si="4" ref="B17:G17">SUM(B15:B16)</f>
        <v>1550</v>
      </c>
      <c r="C17" s="95">
        <f t="shared" si="4"/>
        <v>0</v>
      </c>
      <c r="D17" s="136">
        <f t="shared" si="4"/>
        <v>54</v>
      </c>
      <c r="E17" s="41">
        <f t="shared" si="4"/>
        <v>0</v>
      </c>
      <c r="F17" s="2">
        <f t="shared" si="4"/>
        <v>0</v>
      </c>
      <c r="G17" s="2">
        <f t="shared" si="4"/>
        <v>1604</v>
      </c>
      <c r="H17" s="3"/>
      <c r="I17" s="47"/>
      <c r="J17" s="42">
        <f aca="true" t="shared" si="5" ref="J17:O17">SUM(J15:J16)</f>
        <v>0</v>
      </c>
      <c r="K17" s="96">
        <f t="shared" si="5"/>
        <v>0</v>
      </c>
      <c r="L17" s="96">
        <f t="shared" si="5"/>
        <v>0</v>
      </c>
      <c r="M17" s="2">
        <f t="shared" si="5"/>
        <v>0</v>
      </c>
      <c r="N17" s="2">
        <f t="shared" si="5"/>
        <v>0</v>
      </c>
      <c r="O17" s="43">
        <f t="shared" si="5"/>
        <v>0</v>
      </c>
    </row>
    <row r="18" spans="1:15" ht="12.75">
      <c r="A18" s="11" t="s">
        <v>17</v>
      </c>
      <c r="B18" s="50">
        <v>1974</v>
      </c>
      <c r="C18" s="108"/>
      <c r="D18" s="129">
        <v>70</v>
      </c>
      <c r="E18" s="31"/>
      <c r="F18" s="36"/>
      <c r="G18" s="36">
        <f aca="true" t="shared" si="6" ref="G18:G25">SUM(B18:E18)</f>
        <v>2044</v>
      </c>
      <c r="H18" s="4"/>
      <c r="I18" s="52"/>
      <c r="J18" s="53"/>
      <c r="K18" s="98"/>
      <c r="L18" s="98"/>
      <c r="M18" s="51"/>
      <c r="N18" s="51"/>
      <c r="O18" s="54"/>
    </row>
    <row r="19" spans="1:15" ht="21.75">
      <c r="A19" s="109" t="s">
        <v>82</v>
      </c>
      <c r="B19" s="50"/>
      <c r="C19" s="108">
        <f>82.5-55</f>
        <v>27.5</v>
      </c>
      <c r="D19" s="129"/>
      <c r="E19" s="31"/>
      <c r="F19" s="36"/>
      <c r="G19" s="36">
        <f t="shared" si="6"/>
        <v>27.5</v>
      </c>
      <c r="H19" s="4"/>
      <c r="I19" s="34"/>
      <c r="J19" s="39"/>
      <c r="K19" s="97"/>
      <c r="L19" s="97"/>
      <c r="M19" s="32"/>
      <c r="N19" s="32"/>
      <c r="O19" s="54"/>
    </row>
    <row r="20" spans="1:15" ht="12.75">
      <c r="A20" s="11" t="s">
        <v>18</v>
      </c>
      <c r="B20" s="50">
        <v>4675</v>
      </c>
      <c r="C20" s="117"/>
      <c r="D20" s="129">
        <f>4/4*19</f>
        <v>19</v>
      </c>
      <c r="E20" s="31"/>
      <c r="F20" s="36"/>
      <c r="G20" s="36">
        <f t="shared" si="6"/>
        <v>4694</v>
      </c>
      <c r="H20" s="48"/>
      <c r="I20" s="34"/>
      <c r="J20" s="39"/>
      <c r="K20" s="97"/>
      <c r="L20" s="97"/>
      <c r="M20" s="32"/>
      <c r="N20" s="32"/>
      <c r="O20" s="54"/>
    </row>
    <row r="21" spans="1:15" ht="12.75">
      <c r="A21" s="18" t="s">
        <v>88</v>
      </c>
      <c r="B21" s="50"/>
      <c r="C21" s="113">
        <f>3/3*35</f>
        <v>35</v>
      </c>
      <c r="D21" s="130"/>
      <c r="E21" s="114"/>
      <c r="F21" s="115"/>
      <c r="G21" s="115">
        <f t="shared" si="6"/>
        <v>35</v>
      </c>
      <c r="H21" s="48"/>
      <c r="I21" s="120" t="s">
        <v>92</v>
      </c>
      <c r="J21" s="39"/>
      <c r="K21" s="113">
        <f>3/3*35</f>
        <v>35</v>
      </c>
      <c r="L21" s="130"/>
      <c r="M21" s="114"/>
      <c r="N21" s="115"/>
      <c r="O21" s="122">
        <f>SUM(J21:M21)</f>
        <v>35</v>
      </c>
    </row>
    <row r="22" spans="1:15" ht="12.75">
      <c r="A22" s="18" t="s">
        <v>93</v>
      </c>
      <c r="B22" s="50"/>
      <c r="C22" s="113">
        <f>4/4*63</f>
        <v>63</v>
      </c>
      <c r="D22" s="130"/>
      <c r="E22" s="114"/>
      <c r="F22" s="115"/>
      <c r="G22" s="115">
        <f t="shared" si="6"/>
        <v>63</v>
      </c>
      <c r="H22" s="48"/>
      <c r="I22" s="120" t="s">
        <v>94</v>
      </c>
      <c r="J22" s="39"/>
      <c r="K22" s="113">
        <f>4/4*63</f>
        <v>63</v>
      </c>
      <c r="L22" s="130"/>
      <c r="M22" s="114"/>
      <c r="N22" s="115"/>
      <c r="O22" s="122">
        <f>SUM(J22:M22)</f>
        <v>63</v>
      </c>
    </row>
    <row r="23" spans="1:15" ht="12.75">
      <c r="A23" s="18" t="s">
        <v>97</v>
      </c>
      <c r="B23" s="50"/>
      <c r="C23" s="113">
        <f>5/5*261.4</f>
        <v>261.4</v>
      </c>
      <c r="D23" s="130"/>
      <c r="E23" s="114"/>
      <c r="F23" s="115"/>
      <c r="G23" s="115">
        <f t="shared" si="6"/>
        <v>261.4</v>
      </c>
      <c r="H23" s="48"/>
      <c r="I23" s="120" t="s">
        <v>94</v>
      </c>
      <c r="J23" s="39"/>
      <c r="K23" s="113">
        <f>5/5*261.4</f>
        <v>261.4</v>
      </c>
      <c r="L23" s="130"/>
      <c r="M23" s="114"/>
      <c r="N23" s="115"/>
      <c r="O23" s="122">
        <f>SUM(J23:M23)</f>
        <v>261.4</v>
      </c>
    </row>
    <row r="24" spans="1:15" ht="21.75">
      <c r="A24" s="109" t="s">
        <v>83</v>
      </c>
      <c r="B24" s="50"/>
      <c r="C24" s="108">
        <v>55</v>
      </c>
      <c r="D24" s="129"/>
      <c r="E24" s="31"/>
      <c r="F24" s="36"/>
      <c r="G24" s="36">
        <f t="shared" si="6"/>
        <v>55</v>
      </c>
      <c r="H24" s="4"/>
      <c r="I24" s="56"/>
      <c r="J24" s="39"/>
      <c r="K24" s="97"/>
      <c r="L24" s="97"/>
      <c r="M24" s="32"/>
      <c r="N24" s="32"/>
      <c r="O24" s="54"/>
    </row>
    <row r="25" spans="1:15" ht="12.75">
      <c r="A25" s="11" t="s">
        <v>19</v>
      </c>
      <c r="B25" s="50">
        <v>1312</v>
      </c>
      <c r="C25" s="108"/>
      <c r="D25" s="129"/>
      <c r="E25" s="31"/>
      <c r="F25" s="36"/>
      <c r="G25" s="36">
        <f t="shared" si="6"/>
        <v>1312</v>
      </c>
      <c r="H25" s="4"/>
      <c r="I25" s="57"/>
      <c r="J25" s="58"/>
      <c r="K25" s="102"/>
      <c r="L25" s="102"/>
      <c r="M25" s="59"/>
      <c r="N25" s="59"/>
      <c r="O25" s="54"/>
    </row>
    <row r="26" spans="1:15" ht="12.75">
      <c r="A26" s="11" t="s">
        <v>20</v>
      </c>
      <c r="B26" s="60"/>
      <c r="C26" s="108"/>
      <c r="D26" s="129"/>
      <c r="E26" s="31"/>
      <c r="F26" s="36"/>
      <c r="G26" s="110"/>
      <c r="H26" s="4"/>
      <c r="I26" s="56"/>
      <c r="J26" s="39"/>
      <c r="K26" s="97"/>
      <c r="L26" s="133"/>
      <c r="M26" s="32"/>
      <c r="N26" s="32"/>
      <c r="O26" s="40"/>
    </row>
    <row r="27" spans="1:15" ht="21.75">
      <c r="A27" s="109" t="s">
        <v>84</v>
      </c>
      <c r="B27" s="50"/>
      <c r="C27" s="108">
        <v>41.2</v>
      </c>
      <c r="D27" s="129"/>
      <c r="E27" s="31"/>
      <c r="F27" s="36"/>
      <c r="G27" s="36">
        <f>SUM(B27:E27)</f>
        <v>41.2</v>
      </c>
      <c r="H27" s="4"/>
      <c r="I27" s="56"/>
      <c r="J27" s="39"/>
      <c r="K27" s="97"/>
      <c r="L27" s="133"/>
      <c r="M27" s="32"/>
      <c r="N27" s="32"/>
      <c r="O27" s="40"/>
    </row>
    <row r="28" spans="1:15" ht="12.75">
      <c r="A28" s="13" t="s">
        <v>65</v>
      </c>
      <c r="B28" s="61">
        <f aca="true" t="shared" si="7" ref="B28:G28">SUM(B18:B27)</f>
        <v>7961</v>
      </c>
      <c r="C28" s="96">
        <f t="shared" si="7"/>
        <v>483.09999999999997</v>
      </c>
      <c r="D28" s="131">
        <f t="shared" si="7"/>
        <v>89</v>
      </c>
      <c r="E28" s="2">
        <f t="shared" si="7"/>
        <v>0</v>
      </c>
      <c r="F28" s="2">
        <f t="shared" si="7"/>
        <v>0</v>
      </c>
      <c r="G28" s="61">
        <f t="shared" si="7"/>
        <v>8533.1</v>
      </c>
      <c r="H28" s="3"/>
      <c r="I28" s="62"/>
      <c r="J28" s="42">
        <f aca="true" t="shared" si="8" ref="J28:O28">SUM(J18:J27)</f>
        <v>0</v>
      </c>
      <c r="K28" s="96">
        <f t="shared" si="8"/>
        <v>359.4</v>
      </c>
      <c r="L28" s="131">
        <f t="shared" si="8"/>
        <v>0</v>
      </c>
      <c r="M28" s="2">
        <f t="shared" si="8"/>
        <v>0</v>
      </c>
      <c r="N28" s="2">
        <f t="shared" si="8"/>
        <v>0</v>
      </c>
      <c r="O28" s="43">
        <f t="shared" si="8"/>
        <v>359.4</v>
      </c>
    </row>
    <row r="29" spans="1:15" ht="12.75">
      <c r="A29" s="11" t="s">
        <v>21</v>
      </c>
      <c r="B29" s="32">
        <f>100+260</f>
        <v>360</v>
      </c>
      <c r="C29" s="108"/>
      <c r="D29" s="129"/>
      <c r="E29" s="31"/>
      <c r="F29" s="63"/>
      <c r="G29" s="36">
        <f>SUM(B29:E29)</f>
        <v>360</v>
      </c>
      <c r="H29" s="1"/>
      <c r="I29" s="64"/>
      <c r="J29" s="39"/>
      <c r="K29" s="108"/>
      <c r="L29" s="129"/>
      <c r="M29" s="31"/>
      <c r="N29" s="63"/>
      <c r="O29" s="37"/>
    </row>
    <row r="30" spans="1:15" ht="12.75">
      <c r="A30" s="11" t="s">
        <v>22</v>
      </c>
      <c r="B30" s="65">
        <f>12*121*(12*20)/1000+1.52</f>
        <v>350</v>
      </c>
      <c r="C30" s="108"/>
      <c r="D30" s="129"/>
      <c r="E30" s="31"/>
      <c r="F30" s="36"/>
      <c r="G30" s="36">
        <f>SUM(B30:E30)</f>
        <v>350</v>
      </c>
      <c r="H30" s="4"/>
      <c r="I30" s="57"/>
      <c r="J30" s="58"/>
      <c r="K30" s="108"/>
      <c r="L30" s="129"/>
      <c r="M30" s="31"/>
      <c r="N30" s="36"/>
      <c r="O30" s="37"/>
    </row>
    <row r="31" spans="1:15" ht="12.75">
      <c r="A31" s="11" t="s">
        <v>23</v>
      </c>
      <c r="B31" s="65">
        <f>3458-B29-B30</f>
        <v>2748</v>
      </c>
      <c r="C31" s="108"/>
      <c r="D31" s="129"/>
      <c r="E31" s="31"/>
      <c r="F31" s="36"/>
      <c r="G31" s="36">
        <f>SUM(B31:E31)</f>
        <v>2748</v>
      </c>
      <c r="H31" s="4"/>
      <c r="I31" s="57"/>
      <c r="J31" s="67">
        <f>440*1.05+8-470+500</f>
        <v>500</v>
      </c>
      <c r="K31" s="108"/>
      <c r="L31" s="129"/>
      <c r="M31" s="31"/>
      <c r="N31" s="36"/>
      <c r="O31" s="37">
        <f>SUM(J31:M31)</f>
        <v>500</v>
      </c>
    </row>
    <row r="32" spans="1:15" ht="12.75" hidden="1">
      <c r="A32" s="11" t="s">
        <v>50</v>
      </c>
      <c r="B32" s="65"/>
      <c r="C32" s="108"/>
      <c r="D32" s="129"/>
      <c r="E32" s="31"/>
      <c r="F32" s="36"/>
      <c r="G32" s="65"/>
      <c r="H32" s="4"/>
      <c r="I32" s="55" t="s">
        <v>56</v>
      </c>
      <c r="J32" s="67"/>
      <c r="K32" s="108"/>
      <c r="L32" s="129"/>
      <c r="M32" s="31"/>
      <c r="N32" s="36"/>
      <c r="O32" s="54"/>
    </row>
    <row r="33" spans="1:15" ht="12.75" hidden="1">
      <c r="A33" s="11" t="s">
        <v>51</v>
      </c>
      <c r="B33" s="65"/>
      <c r="C33" s="108"/>
      <c r="D33" s="129"/>
      <c r="E33" s="31"/>
      <c r="F33" s="36"/>
      <c r="G33" s="65"/>
      <c r="H33" s="4"/>
      <c r="I33" s="55" t="s">
        <v>56</v>
      </c>
      <c r="J33" s="67"/>
      <c r="K33" s="108"/>
      <c r="L33" s="129"/>
      <c r="M33" s="31"/>
      <c r="N33" s="36"/>
      <c r="O33" s="54"/>
    </row>
    <row r="34" spans="1:15" ht="12.75">
      <c r="A34" s="123" t="s">
        <v>95</v>
      </c>
      <c r="B34" s="65"/>
      <c r="C34" s="113">
        <f>4/4*224.1</f>
        <v>224.1</v>
      </c>
      <c r="D34" s="130"/>
      <c r="E34" s="114"/>
      <c r="F34" s="115"/>
      <c r="G34" s="115">
        <f>SUM(B34:E34)</f>
        <v>224.1</v>
      </c>
      <c r="H34" s="4"/>
      <c r="I34" s="120" t="s">
        <v>94</v>
      </c>
      <c r="J34" s="67"/>
      <c r="K34" s="113">
        <f>4/4*224.1</f>
        <v>224.1</v>
      </c>
      <c r="L34" s="130"/>
      <c r="M34" s="114"/>
      <c r="N34" s="115"/>
      <c r="O34" s="122">
        <f>SUM(J34:M34)</f>
        <v>224.1</v>
      </c>
    </row>
    <row r="35" spans="1:15" ht="12.75">
      <c r="A35" s="116" t="s">
        <v>89</v>
      </c>
      <c r="B35" s="65"/>
      <c r="C35" s="113">
        <f>3/3*336-4/4*C65</f>
        <v>100</v>
      </c>
      <c r="D35" s="130"/>
      <c r="E35" s="114"/>
      <c r="F35" s="115"/>
      <c r="G35" s="115">
        <f>SUM(B35:E35)</f>
        <v>100</v>
      </c>
      <c r="H35" s="4"/>
      <c r="I35" s="120" t="s">
        <v>92</v>
      </c>
      <c r="J35" s="67"/>
      <c r="K35" s="113">
        <f>3/3*336-4/4*K65</f>
        <v>100</v>
      </c>
      <c r="L35" s="130"/>
      <c r="M35" s="114"/>
      <c r="N35" s="115"/>
      <c r="O35" s="122">
        <f>SUM(J35:M35)</f>
        <v>100</v>
      </c>
    </row>
    <row r="36" spans="1:15" ht="12.75">
      <c r="A36" s="11" t="s">
        <v>52</v>
      </c>
      <c r="B36" s="65"/>
      <c r="C36" s="108"/>
      <c r="D36" s="129"/>
      <c r="E36" s="31"/>
      <c r="F36" s="36"/>
      <c r="G36" s="65"/>
      <c r="H36" s="1"/>
      <c r="I36" s="69"/>
      <c r="J36" s="53"/>
      <c r="K36" s="108"/>
      <c r="L36" s="129"/>
      <c r="M36" s="31"/>
      <c r="N36" s="36"/>
      <c r="O36" s="37"/>
    </row>
    <row r="37" spans="1:15" ht="12.75">
      <c r="A37" s="11" t="s">
        <v>24</v>
      </c>
      <c r="B37" s="65"/>
      <c r="C37" s="108"/>
      <c r="D37" s="129"/>
      <c r="E37" s="31"/>
      <c r="F37" s="36"/>
      <c r="G37" s="65"/>
      <c r="H37" s="1"/>
      <c r="I37" s="69"/>
      <c r="J37" s="53"/>
      <c r="K37" s="108"/>
      <c r="L37" s="129"/>
      <c r="M37" s="31"/>
      <c r="N37" s="36"/>
      <c r="O37" s="37"/>
    </row>
    <row r="38" spans="1:15" ht="12.75">
      <c r="A38" s="17" t="s">
        <v>25</v>
      </c>
      <c r="B38" s="32"/>
      <c r="C38" s="108"/>
      <c r="D38" s="129"/>
      <c r="E38" s="31"/>
      <c r="F38" s="36"/>
      <c r="G38" s="36"/>
      <c r="H38" s="1"/>
      <c r="I38" s="69"/>
      <c r="J38" s="53"/>
      <c r="K38" s="108"/>
      <c r="L38" s="129"/>
      <c r="M38" s="31"/>
      <c r="N38" s="36"/>
      <c r="O38" s="37"/>
    </row>
    <row r="39" spans="1:15" ht="12.75">
      <c r="A39" s="11" t="s">
        <v>26</v>
      </c>
      <c r="B39" s="32">
        <f>50*0</f>
        <v>0</v>
      </c>
      <c r="C39" s="108"/>
      <c r="D39" s="129"/>
      <c r="E39" s="31"/>
      <c r="F39" s="36"/>
      <c r="G39" s="36">
        <f>SUM(B39:E39)</f>
        <v>0</v>
      </c>
      <c r="H39" s="1"/>
      <c r="I39" s="34"/>
      <c r="J39" s="39"/>
      <c r="K39" s="108"/>
      <c r="L39" s="129"/>
      <c r="M39" s="31"/>
      <c r="N39" s="36"/>
      <c r="O39" s="37"/>
    </row>
    <row r="40" spans="1:15" ht="12.75">
      <c r="A40" s="11" t="s">
        <v>27</v>
      </c>
      <c r="B40" s="32">
        <v>30</v>
      </c>
      <c r="C40" s="108"/>
      <c r="D40" s="129"/>
      <c r="E40" s="31"/>
      <c r="F40" s="36"/>
      <c r="G40" s="36">
        <f>SUM(B40:E40)</f>
        <v>30</v>
      </c>
      <c r="H40" s="1"/>
      <c r="I40" s="34"/>
      <c r="J40" s="39"/>
      <c r="K40" s="108"/>
      <c r="L40" s="129"/>
      <c r="M40" s="31"/>
      <c r="N40" s="36"/>
      <c r="O40" s="37"/>
    </row>
    <row r="41" spans="1:15" ht="12.75">
      <c r="A41" s="11" t="s">
        <v>28</v>
      </c>
      <c r="B41" s="32">
        <v>50</v>
      </c>
      <c r="C41" s="108"/>
      <c r="D41" s="129"/>
      <c r="E41" s="31"/>
      <c r="F41" s="36"/>
      <c r="G41" s="36">
        <f>SUM(B41:E41)</f>
        <v>50</v>
      </c>
      <c r="H41" s="1"/>
      <c r="I41" s="34"/>
      <c r="J41" s="39"/>
      <c r="K41" s="108"/>
      <c r="L41" s="129"/>
      <c r="M41" s="31"/>
      <c r="N41" s="36"/>
      <c r="O41" s="37"/>
    </row>
    <row r="42" spans="1:15" ht="12.75">
      <c r="A42" s="23" t="s">
        <v>85</v>
      </c>
      <c r="B42" s="32">
        <v>0</v>
      </c>
      <c r="C42" s="108"/>
      <c r="D42" s="129"/>
      <c r="E42" s="31"/>
      <c r="F42" s="36"/>
      <c r="G42" s="36">
        <f>SUM(B42:E42)</f>
        <v>0</v>
      </c>
      <c r="H42" s="1"/>
      <c r="I42" s="34"/>
      <c r="J42" s="39"/>
      <c r="K42" s="108"/>
      <c r="L42" s="129"/>
      <c r="M42" s="31"/>
      <c r="N42" s="36"/>
      <c r="O42" s="37"/>
    </row>
    <row r="43" spans="1:15" ht="12.75">
      <c r="A43" s="11" t="s">
        <v>29</v>
      </c>
      <c r="B43" s="32">
        <f>100+50</f>
        <v>150</v>
      </c>
      <c r="C43" s="108"/>
      <c r="D43" s="129"/>
      <c r="E43" s="31"/>
      <c r="F43" s="36"/>
      <c r="G43" s="36">
        <f>SUM(B43:E43)</f>
        <v>150</v>
      </c>
      <c r="H43" s="1"/>
      <c r="I43" s="56" t="s">
        <v>57</v>
      </c>
      <c r="J43" s="39"/>
      <c r="K43" s="108"/>
      <c r="L43" s="129"/>
      <c r="M43" s="31"/>
      <c r="N43" s="36"/>
      <c r="O43" s="37"/>
    </row>
    <row r="44" spans="1:15" ht="12.75">
      <c r="A44" s="13" t="s">
        <v>66</v>
      </c>
      <c r="B44" s="2">
        <f aca="true" t="shared" si="9" ref="B44:G44">SUM(B29:B43)</f>
        <v>3688</v>
      </c>
      <c r="C44" s="95">
        <f t="shared" si="9"/>
        <v>324.1</v>
      </c>
      <c r="D44" s="131">
        <f t="shared" si="9"/>
        <v>0</v>
      </c>
      <c r="E44" s="2">
        <f t="shared" si="9"/>
        <v>0</v>
      </c>
      <c r="F44" s="2">
        <f t="shared" si="9"/>
        <v>0</v>
      </c>
      <c r="G44" s="2">
        <f t="shared" si="9"/>
        <v>4012.1</v>
      </c>
      <c r="H44" s="3"/>
      <c r="I44" s="47"/>
      <c r="J44" s="42">
        <f aca="true" t="shared" si="10" ref="J44:O44">SUM(J29:J43)</f>
        <v>500</v>
      </c>
      <c r="K44" s="96">
        <f t="shared" si="10"/>
        <v>324.1</v>
      </c>
      <c r="L44" s="96">
        <f t="shared" si="10"/>
        <v>0</v>
      </c>
      <c r="M44" s="2">
        <f t="shared" si="10"/>
        <v>0</v>
      </c>
      <c r="N44" s="2">
        <f t="shared" si="10"/>
        <v>0</v>
      </c>
      <c r="O44" s="43">
        <f t="shared" si="10"/>
        <v>824.1</v>
      </c>
    </row>
    <row r="45" spans="1:15" ht="12.75">
      <c r="A45" s="11" t="s">
        <v>30</v>
      </c>
      <c r="B45" s="65">
        <v>624</v>
      </c>
      <c r="C45" s="108"/>
      <c r="D45" s="139">
        <f>9</f>
        <v>9</v>
      </c>
      <c r="E45" s="31"/>
      <c r="F45" s="36"/>
      <c r="G45" s="36">
        <f aca="true" t="shared" si="11" ref="G45:G50">SUM(B45:E45)</f>
        <v>633</v>
      </c>
      <c r="H45" s="4"/>
      <c r="I45" s="69"/>
      <c r="J45" s="39"/>
      <c r="K45" s="97"/>
      <c r="L45" s="97"/>
      <c r="M45" s="32"/>
      <c r="N45" s="32"/>
      <c r="O45" s="40"/>
    </row>
    <row r="46" spans="1:15" ht="12.75">
      <c r="A46" s="11" t="s">
        <v>31</v>
      </c>
      <c r="B46" s="65">
        <v>2226</v>
      </c>
      <c r="C46" s="108">
        <f>3/3*63</f>
        <v>63</v>
      </c>
      <c r="D46" s="139">
        <f>11</f>
        <v>11</v>
      </c>
      <c r="E46" s="31"/>
      <c r="F46" s="36"/>
      <c r="G46" s="36">
        <f t="shared" si="11"/>
        <v>2300</v>
      </c>
      <c r="H46" s="4"/>
      <c r="I46" s="92" t="s">
        <v>75</v>
      </c>
      <c r="J46" s="35">
        <f>123*1.05-4.15-125+150</f>
        <v>150</v>
      </c>
      <c r="K46" s="108">
        <v>63</v>
      </c>
      <c r="L46" s="129"/>
      <c r="M46" s="31"/>
      <c r="N46" s="36"/>
      <c r="O46" s="37">
        <f>SUM(J46:M46)</f>
        <v>213</v>
      </c>
    </row>
    <row r="47" spans="1:15" ht="12.75">
      <c r="A47" s="125" t="s">
        <v>100</v>
      </c>
      <c r="B47" s="65"/>
      <c r="C47" s="113">
        <f>6/6*115</f>
        <v>115</v>
      </c>
      <c r="D47" s="130"/>
      <c r="E47" s="114"/>
      <c r="F47" s="115"/>
      <c r="G47" s="115">
        <f t="shared" si="11"/>
        <v>115</v>
      </c>
      <c r="H47" s="126"/>
      <c r="I47" s="120" t="s">
        <v>101</v>
      </c>
      <c r="J47" s="35"/>
      <c r="K47" s="113">
        <f>6/6*115</f>
        <v>115</v>
      </c>
      <c r="L47" s="130"/>
      <c r="M47" s="114"/>
      <c r="N47" s="115"/>
      <c r="O47" s="122">
        <f>SUM(J47:M47)</f>
        <v>115</v>
      </c>
    </row>
    <row r="48" spans="1:15" ht="12.75">
      <c r="A48" s="11" t="s">
        <v>32</v>
      </c>
      <c r="B48" s="65">
        <f>1674-B49-B50</f>
        <v>1311</v>
      </c>
      <c r="C48" s="108"/>
      <c r="D48" s="139">
        <v>14</v>
      </c>
      <c r="E48" s="31"/>
      <c r="F48" s="36"/>
      <c r="G48" s="36">
        <f t="shared" si="11"/>
        <v>1325</v>
      </c>
      <c r="H48" s="4"/>
      <c r="I48" s="69"/>
      <c r="J48" s="35">
        <f>100*1.1-110+50</f>
        <v>50.000000000000014</v>
      </c>
      <c r="K48" s="108"/>
      <c r="L48" s="129"/>
      <c r="M48" s="31"/>
      <c r="N48" s="36"/>
      <c r="O48" s="37">
        <f>SUM(J48:M48)</f>
        <v>50.000000000000014</v>
      </c>
    </row>
    <row r="49" spans="1:15" ht="12.75">
      <c r="A49" s="11" t="s">
        <v>33</v>
      </c>
      <c r="B49" s="65">
        <f>12+16</f>
        <v>28</v>
      </c>
      <c r="C49" s="108"/>
      <c r="D49" s="129"/>
      <c r="E49" s="31"/>
      <c r="F49" s="36"/>
      <c r="G49" s="36">
        <f t="shared" si="11"/>
        <v>28</v>
      </c>
      <c r="H49" s="6"/>
      <c r="I49" s="69"/>
      <c r="J49" s="39"/>
      <c r="K49" s="97"/>
      <c r="L49" s="97"/>
      <c r="M49" s="32"/>
      <c r="N49" s="32"/>
      <c r="O49" s="40"/>
    </row>
    <row r="50" spans="1:15" ht="12.75">
      <c r="A50" s="11" t="s">
        <v>34</v>
      </c>
      <c r="B50" s="32">
        <f>35+60+40+50+150-335*0</f>
        <v>335</v>
      </c>
      <c r="C50" s="108"/>
      <c r="D50" s="129"/>
      <c r="E50" s="31"/>
      <c r="F50" s="36"/>
      <c r="G50" s="36">
        <f t="shared" si="11"/>
        <v>335</v>
      </c>
      <c r="H50" s="1"/>
      <c r="I50" s="69"/>
      <c r="J50" s="39"/>
      <c r="K50" s="97"/>
      <c r="L50" s="97"/>
      <c r="M50" s="32"/>
      <c r="N50" s="32"/>
      <c r="O50" s="40"/>
    </row>
    <row r="51" spans="1:15" ht="12.75">
      <c r="A51" s="11" t="s">
        <v>35</v>
      </c>
      <c r="B51" s="32"/>
      <c r="C51" s="108"/>
      <c r="D51" s="129"/>
      <c r="E51" s="31"/>
      <c r="F51" s="36"/>
      <c r="G51" s="36"/>
      <c r="H51" s="1"/>
      <c r="I51" s="69"/>
      <c r="J51" s="39"/>
      <c r="K51" s="97"/>
      <c r="L51" s="97"/>
      <c r="M51" s="32"/>
      <c r="N51" s="32"/>
      <c r="O51" s="40"/>
    </row>
    <row r="52" spans="1:15" ht="12.75">
      <c r="A52" s="109" t="s">
        <v>86</v>
      </c>
      <c r="B52" s="32"/>
      <c r="C52" s="108">
        <f>41.3</f>
        <v>41.3</v>
      </c>
      <c r="D52" s="129"/>
      <c r="E52" s="31"/>
      <c r="F52" s="36"/>
      <c r="G52" s="36">
        <f>SUM(B52:E52)</f>
        <v>41.3</v>
      </c>
      <c r="H52" s="1"/>
      <c r="I52" s="69"/>
      <c r="J52" s="39"/>
      <c r="K52" s="97"/>
      <c r="L52" s="97"/>
      <c r="M52" s="32"/>
      <c r="N52" s="32"/>
      <c r="O52" s="40"/>
    </row>
    <row r="53" spans="1:15" ht="12.75">
      <c r="A53" s="13" t="s">
        <v>64</v>
      </c>
      <c r="B53" s="2">
        <f aca="true" t="shared" si="12" ref="B53:G53">SUM(B45:B52)</f>
        <v>4524</v>
      </c>
      <c r="C53" s="95">
        <f t="shared" si="12"/>
        <v>219.3</v>
      </c>
      <c r="D53" s="131">
        <f t="shared" si="12"/>
        <v>34</v>
      </c>
      <c r="E53" s="2">
        <f t="shared" si="12"/>
        <v>0</v>
      </c>
      <c r="F53" s="2">
        <f t="shared" si="12"/>
        <v>0</v>
      </c>
      <c r="G53" s="2">
        <f t="shared" si="12"/>
        <v>4777.3</v>
      </c>
      <c r="H53" s="3"/>
      <c r="I53" s="47"/>
      <c r="J53" s="42">
        <f aca="true" t="shared" si="13" ref="J53:O53">SUM(J45:J52)</f>
        <v>200</v>
      </c>
      <c r="K53" s="96">
        <f t="shared" si="13"/>
        <v>178</v>
      </c>
      <c r="L53" s="96">
        <f t="shared" si="13"/>
        <v>0</v>
      </c>
      <c r="M53" s="2">
        <f t="shared" si="13"/>
        <v>0</v>
      </c>
      <c r="N53" s="2">
        <f t="shared" si="13"/>
        <v>0</v>
      </c>
      <c r="O53" s="43">
        <f t="shared" si="13"/>
        <v>378</v>
      </c>
    </row>
    <row r="54" spans="1:15" ht="12.75">
      <c r="A54" s="11" t="s">
        <v>36</v>
      </c>
      <c r="B54" s="32">
        <v>350</v>
      </c>
      <c r="C54" s="108"/>
      <c r="D54" s="129"/>
      <c r="E54" s="31"/>
      <c r="F54" s="36"/>
      <c r="G54" s="36">
        <f>SUM(B54:E54)</f>
        <v>350</v>
      </c>
      <c r="H54" s="1"/>
      <c r="I54" s="56" t="s">
        <v>58</v>
      </c>
      <c r="J54" s="39"/>
      <c r="K54" s="108"/>
      <c r="L54" s="129"/>
      <c r="M54" s="31"/>
      <c r="N54" s="36"/>
      <c r="O54" s="37"/>
    </row>
    <row r="55" spans="1:15" ht="12.75">
      <c r="A55" s="11"/>
      <c r="B55" s="32"/>
      <c r="C55" s="108"/>
      <c r="D55" s="129"/>
      <c r="E55" s="31"/>
      <c r="F55" s="36"/>
      <c r="G55" s="36"/>
      <c r="H55" s="1"/>
      <c r="I55" s="56"/>
      <c r="J55" s="39"/>
      <c r="K55" s="108"/>
      <c r="L55" s="129"/>
      <c r="M55" s="31"/>
      <c r="N55" s="36"/>
      <c r="O55" s="37"/>
    </row>
    <row r="56" spans="1:15" ht="12.75">
      <c r="A56" s="13" t="s">
        <v>63</v>
      </c>
      <c r="B56" s="2">
        <f aca="true" t="shared" si="14" ref="B56:G56">SUM(B54:B55)</f>
        <v>350</v>
      </c>
      <c r="C56" s="96">
        <f t="shared" si="14"/>
        <v>0</v>
      </c>
      <c r="D56" s="131">
        <f>SUM(D54:D55)</f>
        <v>0</v>
      </c>
      <c r="E56" s="2">
        <f t="shared" si="14"/>
        <v>0</v>
      </c>
      <c r="F56" s="2">
        <f t="shared" si="14"/>
        <v>0</v>
      </c>
      <c r="G56" s="2">
        <f t="shared" si="14"/>
        <v>350</v>
      </c>
      <c r="H56" s="3"/>
      <c r="I56" s="62"/>
      <c r="J56" s="42">
        <f aca="true" t="shared" si="15" ref="J56:O56">SUM(J54:J55)</f>
        <v>0</v>
      </c>
      <c r="K56" s="96">
        <f t="shared" si="15"/>
        <v>0</v>
      </c>
      <c r="L56" s="96">
        <f t="shared" si="15"/>
        <v>0</v>
      </c>
      <c r="M56" s="2">
        <f t="shared" si="15"/>
        <v>0</v>
      </c>
      <c r="N56" s="2">
        <f t="shared" si="15"/>
        <v>0</v>
      </c>
      <c r="O56" s="43">
        <f t="shared" si="15"/>
        <v>0</v>
      </c>
    </row>
    <row r="57" spans="1:15" ht="12.75">
      <c r="A57" s="11" t="s">
        <v>37</v>
      </c>
      <c r="B57" s="65">
        <v>5500</v>
      </c>
      <c r="C57" s="108"/>
      <c r="D57" s="139">
        <f>-300+74/74*201+1061/1061*35+1062/1062*42+1065/1065*147+1066/1066*48+1074/1074*146+1075/1075*131+1079/1079*393</f>
        <v>843</v>
      </c>
      <c r="E57" s="31"/>
      <c r="F57" s="36"/>
      <c r="G57" s="36">
        <f>SUM(B57:E57)</f>
        <v>6343</v>
      </c>
      <c r="H57" s="1"/>
      <c r="I57" s="57"/>
      <c r="J57" s="67">
        <f>10000*0+(1350*12-16200)*0+(87694-66438)-21256/2+1372-12000</f>
        <v>0</v>
      </c>
      <c r="K57" s="103"/>
      <c r="L57" s="103"/>
      <c r="M57" s="68"/>
      <c r="N57" s="68"/>
      <c r="O57" s="111">
        <f>SUM(J57:M57)</f>
        <v>0</v>
      </c>
    </row>
    <row r="58" spans="1:15" ht="12.75">
      <c r="A58" s="11" t="s">
        <v>38</v>
      </c>
      <c r="B58" s="65">
        <v>7665</v>
      </c>
      <c r="C58" s="108"/>
      <c r="D58" s="129">
        <v>1706</v>
      </c>
      <c r="E58" s="31"/>
      <c r="F58" s="36"/>
      <c r="G58" s="36">
        <f>SUM(B58:E58)</f>
        <v>9371</v>
      </c>
      <c r="H58" s="4"/>
      <c r="I58" s="57"/>
      <c r="J58" s="58"/>
      <c r="K58" s="102"/>
      <c r="L58" s="102"/>
      <c r="M58" s="59"/>
      <c r="N58" s="59"/>
      <c r="O58" s="66"/>
    </row>
    <row r="59" spans="1:15" ht="12.75">
      <c r="A59" s="13" t="s">
        <v>39</v>
      </c>
      <c r="B59" s="2">
        <f aca="true" t="shared" si="16" ref="B59:G59">SUM(B57:B58)</f>
        <v>13165</v>
      </c>
      <c r="C59" s="95">
        <f t="shared" si="16"/>
        <v>0</v>
      </c>
      <c r="D59" s="131">
        <f t="shared" si="16"/>
        <v>2549</v>
      </c>
      <c r="E59" s="2">
        <f t="shared" si="16"/>
        <v>0</v>
      </c>
      <c r="F59" s="2">
        <f t="shared" si="16"/>
        <v>0</v>
      </c>
      <c r="G59" s="2">
        <f t="shared" si="16"/>
        <v>15714</v>
      </c>
      <c r="H59" s="3"/>
      <c r="I59" s="62"/>
      <c r="J59" s="42">
        <f aca="true" t="shared" si="17" ref="J59:O59">SUM(J57:J58)</f>
        <v>0</v>
      </c>
      <c r="K59" s="96">
        <f t="shared" si="17"/>
        <v>0</v>
      </c>
      <c r="L59" s="96">
        <f t="shared" si="17"/>
        <v>0</v>
      </c>
      <c r="M59" s="2">
        <f t="shared" si="17"/>
        <v>0</v>
      </c>
      <c r="N59" s="2">
        <f t="shared" si="17"/>
        <v>0</v>
      </c>
      <c r="O59" s="43">
        <f t="shared" si="17"/>
        <v>0</v>
      </c>
    </row>
    <row r="60" spans="1:15" ht="12.75">
      <c r="A60" s="11" t="s">
        <v>40</v>
      </c>
      <c r="B60" s="65">
        <v>2707</v>
      </c>
      <c r="C60" s="108"/>
      <c r="D60" s="129"/>
      <c r="E60" s="31"/>
      <c r="F60" s="36"/>
      <c r="G60" s="36">
        <f>SUM(B60:E60)</f>
        <v>2707</v>
      </c>
      <c r="H60" s="3"/>
      <c r="I60" s="70" t="s">
        <v>3</v>
      </c>
      <c r="J60" s="58">
        <f>100</f>
        <v>100</v>
      </c>
      <c r="K60" s="108"/>
      <c r="L60" s="129"/>
      <c r="M60" s="31"/>
      <c r="N60" s="36"/>
      <c r="O60" s="37">
        <f>SUM(J60:M60)</f>
        <v>100</v>
      </c>
    </row>
    <row r="61" spans="1:15" ht="12.75">
      <c r="A61" s="11" t="s">
        <v>41</v>
      </c>
      <c r="B61" s="71">
        <f>46783-SUM(B62:B73)</f>
        <v>42616</v>
      </c>
      <c r="C61" s="108"/>
      <c r="D61" s="139">
        <f>(3632/3632*-1706+3111/3111*-70)+1/1*(26+9)+3/3*406/406*5+4/4*(2/2*18+4/4*2+2013/2013*30+6522/6522*27)+10/10*((-493.9+406/406*-5)-600+2013/2013*(9+9))</f>
        <v>-2739.9</v>
      </c>
      <c r="E61" s="31"/>
      <c r="F61" s="36"/>
      <c r="G61" s="36">
        <f>SUM(B61:E61)</f>
        <v>39876.1</v>
      </c>
      <c r="H61" s="3"/>
      <c r="I61" s="72" t="s">
        <v>4</v>
      </c>
      <c r="J61" s="65">
        <v>15917</v>
      </c>
      <c r="K61" s="108"/>
      <c r="L61" s="129"/>
      <c r="M61" s="31"/>
      <c r="N61" s="36"/>
      <c r="O61" s="37">
        <f>SUM(J61:M61)</f>
        <v>15917</v>
      </c>
    </row>
    <row r="62" spans="1:15" ht="12.75" hidden="1">
      <c r="A62" s="11" t="s">
        <v>53</v>
      </c>
      <c r="B62" s="71"/>
      <c r="C62" s="108"/>
      <c r="D62" s="129"/>
      <c r="E62" s="31"/>
      <c r="F62" s="36"/>
      <c r="G62" s="71"/>
      <c r="H62" s="3"/>
      <c r="I62" s="72" t="s">
        <v>60</v>
      </c>
      <c r="J62" s="53"/>
      <c r="K62" s="108"/>
      <c r="L62" s="129"/>
      <c r="M62" s="31"/>
      <c r="N62" s="36"/>
      <c r="O62" s="37"/>
    </row>
    <row r="63" spans="1:15" ht="12.75" hidden="1">
      <c r="A63" s="11" t="s">
        <v>54</v>
      </c>
      <c r="B63" s="71"/>
      <c r="C63" s="108"/>
      <c r="D63" s="129"/>
      <c r="E63" s="31"/>
      <c r="F63" s="36"/>
      <c r="G63" s="71"/>
      <c r="H63" s="3"/>
      <c r="I63" s="72" t="s">
        <v>56</v>
      </c>
      <c r="J63" s="53"/>
      <c r="K63" s="108"/>
      <c r="L63" s="129"/>
      <c r="M63" s="31"/>
      <c r="N63" s="36"/>
      <c r="O63" s="37"/>
    </row>
    <row r="64" spans="1:15" ht="12.75" hidden="1">
      <c r="A64" s="14" t="s">
        <v>55</v>
      </c>
      <c r="B64" s="71"/>
      <c r="C64" s="108"/>
      <c r="D64" s="129"/>
      <c r="E64" s="31"/>
      <c r="F64" s="36"/>
      <c r="G64" s="71"/>
      <c r="H64" s="3"/>
      <c r="I64" s="56" t="s">
        <v>59</v>
      </c>
      <c r="J64" s="53"/>
      <c r="K64" s="108"/>
      <c r="L64" s="129"/>
      <c r="M64" s="31"/>
      <c r="N64" s="36"/>
      <c r="O64" s="37"/>
    </row>
    <row r="65" spans="1:15" ht="12.75">
      <c r="A65" s="116" t="s">
        <v>90</v>
      </c>
      <c r="B65" s="71"/>
      <c r="C65" s="113">
        <f>3/3*336*0+4/4*(176+44+16)</f>
        <v>236</v>
      </c>
      <c r="D65" s="129"/>
      <c r="E65" s="31"/>
      <c r="F65" s="36"/>
      <c r="G65" s="115">
        <f aca="true" t="shared" si="18" ref="G65:G72">SUM(B65:E65)</f>
        <v>236</v>
      </c>
      <c r="H65" s="3"/>
      <c r="I65" s="120" t="s">
        <v>92</v>
      </c>
      <c r="J65" s="53"/>
      <c r="K65" s="113">
        <f>3/3*336*0+4/4*(176+44+16)</f>
        <v>236</v>
      </c>
      <c r="L65" s="129"/>
      <c r="M65" s="31"/>
      <c r="N65" s="36"/>
      <c r="O65" s="122">
        <f>SUM(J65:M65)</f>
        <v>236</v>
      </c>
    </row>
    <row r="66" spans="1:15" ht="12.75">
      <c r="A66" s="118" t="s">
        <v>91</v>
      </c>
      <c r="B66" s="71"/>
      <c r="C66" s="119">
        <f>4/4*(3/3*(663+166+60)+5/5*(15.1+19))</f>
        <v>923.1</v>
      </c>
      <c r="D66" s="129"/>
      <c r="E66" s="31"/>
      <c r="F66" s="36"/>
      <c r="G66" s="115">
        <f t="shared" si="18"/>
        <v>923.1</v>
      </c>
      <c r="H66" s="3"/>
      <c r="I66" s="120" t="s">
        <v>92</v>
      </c>
      <c r="J66" s="53"/>
      <c r="K66" s="119">
        <f>4/4*(3/3*(663+166+60)+5/5*(15.1+19))</f>
        <v>923.1</v>
      </c>
      <c r="L66" s="129"/>
      <c r="M66" s="31"/>
      <c r="N66" s="36"/>
      <c r="O66" s="122">
        <f>SUM(J66:M66)</f>
        <v>923.1</v>
      </c>
    </row>
    <row r="67" spans="1:15" ht="12.75">
      <c r="A67" s="118" t="s">
        <v>96</v>
      </c>
      <c r="B67" s="71"/>
      <c r="C67" s="119">
        <f>5/5*85</f>
        <v>85</v>
      </c>
      <c r="D67" s="129"/>
      <c r="E67" s="31"/>
      <c r="F67" s="36"/>
      <c r="G67" s="115">
        <f t="shared" si="18"/>
        <v>85</v>
      </c>
      <c r="H67" s="3"/>
      <c r="I67" s="120" t="s">
        <v>94</v>
      </c>
      <c r="J67" s="53"/>
      <c r="K67" s="119">
        <f>5/5*85</f>
        <v>85</v>
      </c>
      <c r="L67" s="129"/>
      <c r="M67" s="31"/>
      <c r="N67" s="36"/>
      <c r="O67" s="122">
        <f>SUM(J67:M67)</f>
        <v>85</v>
      </c>
    </row>
    <row r="68" spans="1:15" ht="12.75">
      <c r="A68" s="14" t="s">
        <v>42</v>
      </c>
      <c r="B68" s="32">
        <f>583-62+523+262/2-1175*0</f>
        <v>1175</v>
      </c>
      <c r="C68" s="108"/>
      <c r="D68" s="129"/>
      <c r="E68" s="31"/>
      <c r="F68" s="36"/>
      <c r="G68" s="36">
        <f t="shared" si="18"/>
        <v>1175</v>
      </c>
      <c r="H68" s="3"/>
      <c r="I68" s="64" t="s">
        <v>5</v>
      </c>
      <c r="J68" s="39"/>
      <c r="K68" s="108"/>
      <c r="L68" s="129"/>
      <c r="M68" s="31"/>
      <c r="N68" s="36"/>
      <c r="O68" s="37"/>
    </row>
    <row r="69" spans="1:15" ht="12.75">
      <c r="A69" s="11" t="s">
        <v>43</v>
      </c>
      <c r="B69" s="32">
        <f>(3113/3113*(5000-3500)+6171/6171*((4000-3612/3612*B57)+2000-2500))*0+2012/2012*(3000+1000+2000-6000)+2013/2013*(1500)</f>
        <v>1500</v>
      </c>
      <c r="C69" s="108"/>
      <c r="D69" s="139">
        <f>4/4*(125+99+6171/6171*85+192108/192108*(11+625))</f>
        <v>945</v>
      </c>
      <c r="E69" s="31"/>
      <c r="F69" s="36"/>
      <c r="G69" s="36">
        <f t="shared" si="18"/>
        <v>2445</v>
      </c>
      <c r="H69" s="3"/>
      <c r="I69" s="56" t="s">
        <v>70</v>
      </c>
      <c r="J69" s="39">
        <f>300*0+2012/2012*500</f>
        <v>500</v>
      </c>
      <c r="K69" s="108"/>
      <c r="L69" s="129"/>
      <c r="M69" s="31"/>
      <c r="N69" s="36"/>
      <c r="O69" s="37">
        <f>SUM(J69:M69)</f>
        <v>500</v>
      </c>
    </row>
    <row r="70" spans="1:15" ht="12.75">
      <c r="A70" s="11" t="s">
        <v>44</v>
      </c>
      <c r="B70" s="32">
        <f>150*0+400</f>
        <v>400</v>
      </c>
      <c r="C70" s="108"/>
      <c r="D70" s="129"/>
      <c r="E70" s="31"/>
      <c r="F70" s="36"/>
      <c r="G70" s="36">
        <f t="shared" si="18"/>
        <v>400</v>
      </c>
      <c r="H70" s="5"/>
      <c r="I70" s="56" t="s">
        <v>71</v>
      </c>
      <c r="J70" s="39"/>
      <c r="K70" s="108"/>
      <c r="L70" s="140">
        <f>4/4*550+406/406*6.7+5/5*(20)</f>
        <v>576.7</v>
      </c>
      <c r="M70" s="31"/>
      <c r="N70" s="36"/>
      <c r="O70" s="122">
        <f>SUM(J70:M70)</f>
        <v>576.7</v>
      </c>
    </row>
    <row r="71" spans="1:15" ht="12.75">
      <c r="A71" s="11"/>
      <c r="B71" s="32"/>
      <c r="C71" s="108"/>
      <c r="D71" s="129"/>
      <c r="E71" s="31"/>
      <c r="F71" s="36"/>
      <c r="G71" s="36"/>
      <c r="H71" s="5"/>
      <c r="I71" s="120" t="s">
        <v>102</v>
      </c>
      <c r="J71" s="35"/>
      <c r="K71" s="108"/>
      <c r="L71" s="140">
        <f>4/4*186</f>
        <v>186</v>
      </c>
      <c r="M71" s="31"/>
      <c r="N71" s="36"/>
      <c r="O71" s="122">
        <f>SUM(J71:M71)</f>
        <v>186</v>
      </c>
    </row>
    <row r="72" spans="1:15" ht="12.75">
      <c r="A72" s="11" t="s">
        <v>45</v>
      </c>
      <c r="B72" s="32">
        <f>16/16*(509+101)+(77+50)+352+3-1092*0</f>
        <v>1092</v>
      </c>
      <c r="C72" s="108"/>
      <c r="D72" s="129"/>
      <c r="E72" s="31"/>
      <c r="F72" s="36"/>
      <c r="G72" s="36">
        <f t="shared" si="18"/>
        <v>1092</v>
      </c>
      <c r="H72" s="1"/>
      <c r="I72" s="120" t="s">
        <v>103</v>
      </c>
      <c r="J72" s="35"/>
      <c r="K72" s="108"/>
      <c r="L72" s="140">
        <f>4/4*235</f>
        <v>235</v>
      </c>
      <c r="M72" s="31"/>
      <c r="N72" s="36"/>
      <c r="O72" s="122">
        <f>SUM(J72:M72)</f>
        <v>235</v>
      </c>
    </row>
    <row r="73" spans="1:15" ht="12.75" hidden="1">
      <c r="A73" s="11" t="s">
        <v>46</v>
      </c>
      <c r="B73" s="32"/>
      <c r="C73" s="108"/>
      <c r="D73" s="129"/>
      <c r="E73" s="31"/>
      <c r="F73" s="36"/>
      <c r="G73" s="36"/>
      <c r="H73" s="1"/>
      <c r="I73" s="56" t="s">
        <v>79</v>
      </c>
      <c r="J73" s="39"/>
      <c r="K73" s="108"/>
      <c r="L73" s="129"/>
      <c r="M73" s="31"/>
      <c r="N73" s="36"/>
      <c r="O73" s="37"/>
    </row>
    <row r="74" spans="1:15" ht="12.75">
      <c r="A74" s="13" t="s">
        <v>80</v>
      </c>
      <c r="B74" s="2">
        <f aca="true" t="shared" si="19" ref="B74:G74">SUM(B60:B73)</f>
        <v>49490</v>
      </c>
      <c r="C74" s="95">
        <f t="shared" si="19"/>
        <v>1244.1</v>
      </c>
      <c r="D74" s="131">
        <f>SUM(D60:D73)</f>
        <v>-1794.9</v>
      </c>
      <c r="E74" s="2">
        <f t="shared" si="19"/>
        <v>0</v>
      </c>
      <c r="F74" s="2">
        <f t="shared" si="19"/>
        <v>0</v>
      </c>
      <c r="G74" s="2">
        <f t="shared" si="19"/>
        <v>48939.2</v>
      </c>
      <c r="H74" s="5"/>
      <c r="I74" s="47"/>
      <c r="J74" s="42">
        <f aca="true" t="shared" si="20" ref="J74:O74">SUM(J60:J73)</f>
        <v>16517</v>
      </c>
      <c r="K74" s="96">
        <f t="shared" si="20"/>
        <v>1244.1</v>
      </c>
      <c r="L74" s="96">
        <f t="shared" si="20"/>
        <v>997.7</v>
      </c>
      <c r="M74" s="2">
        <f t="shared" si="20"/>
        <v>0</v>
      </c>
      <c r="N74" s="2">
        <f t="shared" si="20"/>
        <v>0</v>
      </c>
      <c r="O74" s="43">
        <f t="shared" si="20"/>
        <v>18758.8</v>
      </c>
    </row>
    <row r="75" spans="1:15" ht="12.75">
      <c r="A75" s="11"/>
      <c r="B75" s="32"/>
      <c r="C75" s="97"/>
      <c r="D75" s="133"/>
      <c r="E75" s="32"/>
      <c r="F75" s="32"/>
      <c r="G75" s="32"/>
      <c r="H75" s="73"/>
      <c r="I75" s="56" t="s">
        <v>6</v>
      </c>
      <c r="J75" s="74">
        <f>((250+35+520+13+250+1300)+32-2400)*0+(2013/2013*(250+10+560+(8+3)+250)+(250*4-2078)*0)</f>
        <v>1081</v>
      </c>
      <c r="K75" s="108"/>
      <c r="L75" s="129"/>
      <c r="M75" s="31"/>
      <c r="N75" s="36"/>
      <c r="O75" s="37">
        <f>SUM(J75:M75)</f>
        <v>1081</v>
      </c>
    </row>
    <row r="76" spans="1:15" ht="12.75">
      <c r="A76" s="11"/>
      <c r="B76" s="32"/>
      <c r="C76" s="97"/>
      <c r="D76" s="133"/>
      <c r="E76" s="32"/>
      <c r="F76" s="32"/>
      <c r="G76" s="32"/>
      <c r="H76" s="73"/>
      <c r="I76" s="56" t="s">
        <v>7</v>
      </c>
      <c r="J76" s="39">
        <f>2700*1.035+5.5-2800+1800</f>
        <v>1800</v>
      </c>
      <c r="K76" s="108"/>
      <c r="L76" s="129"/>
      <c r="M76" s="31"/>
      <c r="N76" s="36"/>
      <c r="O76" s="37">
        <f>SUM(J76:M76)</f>
        <v>1800</v>
      </c>
    </row>
    <row r="77" spans="1:15" ht="12.75">
      <c r="A77" s="11"/>
      <c r="B77" s="32"/>
      <c r="C77" s="97"/>
      <c r="D77" s="133"/>
      <c r="E77" s="32"/>
      <c r="F77" s="32"/>
      <c r="G77" s="32"/>
      <c r="H77" s="1"/>
      <c r="I77" s="56" t="s">
        <v>8</v>
      </c>
      <c r="J77" s="39">
        <f>5000*0+9200*0+2012/2012*8700*2013/2013*0+2014/2014*7500</f>
        <v>7500</v>
      </c>
      <c r="K77" s="108"/>
      <c r="L77" s="129"/>
      <c r="M77" s="31"/>
      <c r="N77" s="36"/>
      <c r="O77" s="37">
        <f>SUM(J77:M77)</f>
        <v>7500</v>
      </c>
    </row>
    <row r="78" spans="1:15" ht="12.75">
      <c r="A78" s="11"/>
      <c r="B78" s="32"/>
      <c r="C78" s="97"/>
      <c r="D78" s="133"/>
      <c r="E78" s="32"/>
      <c r="F78" s="32"/>
      <c r="G78" s="32"/>
      <c r="H78" s="5"/>
      <c r="I78" s="56" t="s">
        <v>9</v>
      </c>
      <c r="J78" s="53">
        <f>8408*3.728472883*0+31120*0+2012/2012*(38243.68+0.32)*0+2013/2013*(37797*0+37667)*0+2014/2014*37330</f>
        <v>37330</v>
      </c>
      <c r="K78" s="108"/>
      <c r="L78" s="129"/>
      <c r="M78" s="31"/>
      <c r="N78" s="36"/>
      <c r="O78" s="37">
        <f>SUM(J78:M78)</f>
        <v>37330</v>
      </c>
    </row>
    <row r="79" spans="1:15" ht="12.75">
      <c r="A79" s="11"/>
      <c r="B79" s="32"/>
      <c r="C79" s="97"/>
      <c r="D79" s="133"/>
      <c r="E79" s="32"/>
      <c r="F79" s="32"/>
      <c r="G79" s="32"/>
      <c r="H79" s="1"/>
      <c r="I79" s="56" t="s">
        <v>76</v>
      </c>
      <c r="J79" s="39"/>
      <c r="K79" s="108"/>
      <c r="L79" s="129"/>
      <c r="M79" s="31"/>
      <c r="N79" s="36"/>
      <c r="O79" s="37"/>
    </row>
    <row r="80" spans="1:15" ht="12.75">
      <c r="A80" s="11"/>
      <c r="B80" s="32"/>
      <c r="C80" s="97"/>
      <c r="D80" s="133"/>
      <c r="E80" s="32"/>
      <c r="F80" s="32"/>
      <c r="G80" s="32"/>
      <c r="H80" s="1"/>
      <c r="I80" s="56" t="s">
        <v>77</v>
      </c>
      <c r="J80" s="39"/>
      <c r="K80" s="108">
        <f>41.2+41.3+82.5</f>
        <v>165</v>
      </c>
      <c r="L80" s="129"/>
      <c r="M80" s="31"/>
      <c r="N80" s="36"/>
      <c r="O80" s="37">
        <f>SUM(J80:M80)</f>
        <v>165</v>
      </c>
    </row>
    <row r="81" spans="1:15" ht="12.75">
      <c r="A81" s="11"/>
      <c r="B81" s="32"/>
      <c r="C81" s="97"/>
      <c r="D81" s="133"/>
      <c r="E81" s="32"/>
      <c r="F81" s="32"/>
      <c r="G81" s="32"/>
      <c r="H81" s="1"/>
      <c r="I81" s="56" t="s">
        <v>10</v>
      </c>
      <c r="J81" s="53">
        <f>3000*0+21256/2*2-J57-9256*0+3000-12256+2012/2012*(3612/3612*5000+3688)-20688+(8000+1490*12*(50%*0+60%)+60*0+272-50/50*17000*0-60/60*19000*0)</f>
        <v>19000</v>
      </c>
      <c r="K81" s="108"/>
      <c r="L81" s="129"/>
      <c r="M81" s="31"/>
      <c r="N81" s="36"/>
      <c r="O81" s="37">
        <f>SUM(J81:M81)</f>
        <v>19000</v>
      </c>
    </row>
    <row r="82" spans="1:15" ht="12.75" hidden="1">
      <c r="A82" s="11"/>
      <c r="B82" s="32"/>
      <c r="C82" s="97"/>
      <c r="D82" s="133"/>
      <c r="E82" s="32"/>
      <c r="F82" s="32"/>
      <c r="G82" s="32"/>
      <c r="H82" s="1"/>
      <c r="I82" s="56" t="s">
        <v>61</v>
      </c>
      <c r="J82" s="53"/>
      <c r="K82" s="108"/>
      <c r="L82" s="129"/>
      <c r="M82" s="31"/>
      <c r="N82" s="36"/>
      <c r="O82" s="37"/>
    </row>
    <row r="83" spans="1:15" ht="12.75" hidden="1">
      <c r="A83" s="11"/>
      <c r="B83" s="32"/>
      <c r="C83" s="97"/>
      <c r="D83" s="133"/>
      <c r="E83" s="32"/>
      <c r="F83" s="32"/>
      <c r="G83" s="32"/>
      <c r="H83" s="1"/>
      <c r="I83" s="93"/>
      <c r="J83" s="58"/>
      <c r="K83" s="108"/>
      <c r="L83" s="129"/>
      <c r="M83" s="31"/>
      <c r="N83" s="36"/>
      <c r="O83" s="37"/>
    </row>
    <row r="84" spans="1:15" ht="12.75" hidden="1">
      <c r="A84" s="11"/>
      <c r="B84" s="32"/>
      <c r="C84" s="97"/>
      <c r="D84" s="133"/>
      <c r="E84" s="32"/>
      <c r="F84" s="32"/>
      <c r="G84" s="32"/>
      <c r="H84" s="1"/>
      <c r="I84" s="76" t="s">
        <v>62</v>
      </c>
      <c r="J84" s="75"/>
      <c r="K84" s="108"/>
      <c r="L84" s="129"/>
      <c r="M84" s="31"/>
      <c r="N84" s="36"/>
      <c r="O84" s="37"/>
    </row>
    <row r="85" spans="1:15" ht="12.75">
      <c r="A85" s="13" t="s">
        <v>47</v>
      </c>
      <c r="B85" s="2">
        <f aca="true" t="shared" si="21" ref="B85:G85">SUM(B75:B84)</f>
        <v>0</v>
      </c>
      <c r="C85" s="96">
        <f t="shared" si="21"/>
        <v>0</v>
      </c>
      <c r="D85" s="131">
        <f t="shared" si="21"/>
        <v>0</v>
      </c>
      <c r="E85" s="2">
        <f t="shared" si="21"/>
        <v>0</v>
      </c>
      <c r="F85" s="2">
        <f t="shared" si="21"/>
        <v>0</v>
      </c>
      <c r="G85" s="2">
        <f t="shared" si="21"/>
        <v>0</v>
      </c>
      <c r="H85" s="3"/>
      <c r="I85" s="34"/>
      <c r="J85" s="42">
        <f aca="true" t="shared" si="22" ref="J85:O85">SUM(J75:J84)</f>
        <v>66711</v>
      </c>
      <c r="K85" s="96">
        <f t="shared" si="22"/>
        <v>165</v>
      </c>
      <c r="L85" s="96">
        <f t="shared" si="22"/>
        <v>0</v>
      </c>
      <c r="M85" s="2">
        <f t="shared" si="22"/>
        <v>0</v>
      </c>
      <c r="N85" s="2">
        <f t="shared" si="22"/>
        <v>0</v>
      </c>
      <c r="O85" s="43">
        <f t="shared" si="22"/>
        <v>66876</v>
      </c>
    </row>
    <row r="86" spans="1:15" ht="12.75">
      <c r="A86" s="11"/>
      <c r="B86" s="44"/>
      <c r="C86" s="99"/>
      <c r="D86" s="137"/>
      <c r="E86" s="44"/>
      <c r="F86" s="44"/>
      <c r="G86" s="44"/>
      <c r="H86" s="1"/>
      <c r="I86" s="34"/>
      <c r="J86" s="77"/>
      <c r="K86" s="104"/>
      <c r="L86" s="104"/>
      <c r="M86" s="45"/>
      <c r="N86" s="45"/>
      <c r="O86" s="78"/>
    </row>
    <row r="87" spans="1:15" ht="13.5" thickBot="1">
      <c r="A87" s="15" t="s">
        <v>48</v>
      </c>
      <c r="B87" s="7">
        <f aca="true" t="shared" si="23" ref="B87:G87">SUM(B5:B86)/2</f>
        <v>84178</v>
      </c>
      <c r="C87" s="100">
        <f t="shared" si="23"/>
        <v>10770.599999999997</v>
      </c>
      <c r="D87" s="138">
        <f t="shared" si="23"/>
        <v>997.6999999999998</v>
      </c>
      <c r="E87" s="7">
        <f t="shared" si="23"/>
        <v>0</v>
      </c>
      <c r="F87" s="7">
        <f t="shared" si="23"/>
        <v>0</v>
      </c>
      <c r="G87" s="7">
        <f t="shared" si="23"/>
        <v>95946.29999999999</v>
      </c>
      <c r="H87" s="91"/>
      <c r="I87" s="79"/>
      <c r="J87" s="80">
        <f aca="true" t="shared" si="24" ref="J87:O87">SUM(J5:J86)/2</f>
        <v>84178</v>
      </c>
      <c r="K87" s="100">
        <f t="shared" si="24"/>
        <v>10770.599999999999</v>
      </c>
      <c r="L87" s="100">
        <f t="shared" si="24"/>
        <v>997.7</v>
      </c>
      <c r="M87" s="7">
        <f t="shared" si="24"/>
        <v>0</v>
      </c>
      <c r="N87" s="7">
        <f t="shared" si="24"/>
        <v>0</v>
      </c>
      <c r="O87" s="81">
        <f t="shared" si="24"/>
        <v>95946.29999999999</v>
      </c>
    </row>
    <row r="88" spans="1:15" s="20" customFormat="1" ht="14.25" thickBot="1" thickTop="1">
      <c r="A88" s="19"/>
      <c r="B88" s="84"/>
      <c r="C88" s="101"/>
      <c r="D88" s="132"/>
      <c r="E88" s="82"/>
      <c r="F88" s="83"/>
      <c r="G88" s="121"/>
      <c r="H88" s="85"/>
      <c r="I88" s="86"/>
      <c r="J88" s="86"/>
      <c r="K88" s="101"/>
      <c r="L88" s="132"/>
      <c r="M88" s="82"/>
      <c r="N88" s="83"/>
      <c r="O88" s="121"/>
    </row>
    <row r="89" spans="4:15" ht="13.5" thickBot="1">
      <c r="D89" s="132"/>
      <c r="E89" s="82"/>
      <c r="F89" s="88"/>
      <c r="I89" s="94" t="s">
        <v>74</v>
      </c>
      <c r="J89" s="89">
        <f aca="true" t="shared" si="25" ref="J89:O89">J87-B87</f>
        <v>0</v>
      </c>
      <c r="K89" s="89">
        <f t="shared" si="25"/>
        <v>0</v>
      </c>
      <c r="L89" s="89">
        <f>L87-D87</f>
        <v>0</v>
      </c>
      <c r="M89" s="89">
        <f t="shared" si="25"/>
        <v>0</v>
      </c>
      <c r="N89" s="89">
        <f t="shared" si="25"/>
        <v>0</v>
      </c>
      <c r="O89" s="90">
        <f t="shared" si="25"/>
        <v>0</v>
      </c>
    </row>
    <row r="90" spans="3:13" ht="12.75">
      <c r="C90" s="135"/>
      <c r="D90" s="132"/>
      <c r="E90" s="82"/>
      <c r="G90" s="134"/>
      <c r="K90" s="101"/>
      <c r="L90" s="132"/>
      <c r="M90" s="82"/>
    </row>
    <row r="91" spans="4:13" ht="12.75">
      <c r="D91" s="132"/>
      <c r="E91" s="82"/>
      <c r="K91" s="101"/>
      <c r="L91" s="132"/>
      <c r="M91" s="82"/>
    </row>
    <row r="92" spans="5:13" ht="12.75">
      <c r="E92" s="87"/>
      <c r="K92" s="101"/>
      <c r="L92" s="132"/>
      <c r="M92" s="82"/>
    </row>
    <row r="93" spans="5:13" ht="12.75">
      <c r="E93" s="87"/>
      <c r="K93" s="101"/>
      <c r="L93" s="132"/>
      <c r="M93" s="82"/>
    </row>
    <row r="94" spans="5:13" ht="12.75">
      <c r="E94" s="87"/>
      <c r="K94" s="101"/>
      <c r="M94" s="82"/>
    </row>
    <row r="95" spans="5:13" ht="12.75">
      <c r="E95" s="87"/>
      <c r="K95" s="101"/>
      <c r="M95" s="82"/>
    </row>
    <row r="96" spans="5:13" ht="12.75">
      <c r="E96" s="87"/>
      <c r="K96" s="101"/>
      <c r="M96" s="82"/>
    </row>
    <row r="97" spans="5:13" ht="12.75">
      <c r="E97" s="87"/>
      <c r="F97" s="88"/>
      <c r="K97" s="101"/>
      <c r="M97" s="82"/>
    </row>
    <row r="98" spans="5:13" ht="12.75">
      <c r="E98" s="87"/>
      <c r="K98" s="101"/>
      <c r="M98" s="82"/>
    </row>
    <row r="99" spans="5:13" ht="12.75">
      <c r="E99" s="87"/>
      <c r="K99" s="101"/>
      <c r="M99" s="82"/>
    </row>
    <row r="100" spans="5:13" ht="12.75">
      <c r="E100" s="87"/>
      <c r="K100" s="101"/>
      <c r="M100" s="82"/>
    </row>
    <row r="101" spans="5:13" ht="12.75">
      <c r="E101" s="87"/>
      <c r="K101" s="101"/>
      <c r="M101" s="82"/>
    </row>
    <row r="102" spans="5:13" ht="12.75">
      <c r="E102" s="87"/>
      <c r="K102" s="101"/>
      <c r="M102" s="82"/>
    </row>
    <row r="103" spans="5:13" ht="12.75">
      <c r="E103" s="87"/>
      <c r="K103" s="101"/>
      <c r="M103" s="82"/>
    </row>
    <row r="104" spans="5:13" ht="12.75">
      <c r="E104" s="87"/>
      <c r="K104" s="101"/>
      <c r="M104" s="82"/>
    </row>
    <row r="105" spans="5:13" ht="12.75">
      <c r="E105" s="87"/>
      <c r="K105" s="101"/>
      <c r="M105" s="82"/>
    </row>
    <row r="106" spans="5:13" ht="12.75">
      <c r="E106" s="87"/>
      <c r="K106" s="101"/>
      <c r="M106" s="82"/>
    </row>
    <row r="107" spans="5:13" ht="12.75">
      <c r="E107" s="87"/>
      <c r="K107" s="101"/>
      <c r="M107" s="82"/>
    </row>
    <row r="108" spans="5:13" ht="12.75">
      <c r="E108" s="87"/>
      <c r="K108" s="101"/>
      <c r="M108" s="82"/>
    </row>
    <row r="109" spans="5:13" ht="12.75">
      <c r="E109" s="87"/>
      <c r="K109" s="101"/>
      <c r="M109" s="82"/>
    </row>
    <row r="110" spans="5:13" ht="12.75">
      <c r="E110" s="87"/>
      <c r="K110" s="101"/>
      <c r="M110" s="82"/>
    </row>
    <row r="111" spans="5:13" ht="12.75">
      <c r="E111" s="87"/>
      <c r="K111" s="101"/>
      <c r="M111" s="82"/>
    </row>
    <row r="112" spans="5:13" ht="12.75">
      <c r="E112" s="87"/>
      <c r="K112" s="101"/>
      <c r="M112" s="82"/>
    </row>
    <row r="113" spans="5:13" ht="12.75">
      <c r="E113" s="87"/>
      <c r="K113" s="101"/>
      <c r="M113" s="82"/>
    </row>
    <row r="114" spans="5:13" ht="12.75">
      <c r="E114" s="87"/>
      <c r="K114" s="101"/>
      <c r="M114" s="82"/>
    </row>
    <row r="115" spans="5:13" ht="12.75">
      <c r="E115" s="87"/>
      <c r="K115" s="101"/>
      <c r="M115" s="82"/>
    </row>
    <row r="116" spans="5:13" ht="12.75">
      <c r="E116" s="87"/>
      <c r="K116" s="101"/>
      <c r="M116" s="82"/>
    </row>
    <row r="117" spans="5:13" ht="12.75">
      <c r="E117" s="87"/>
      <c r="K117" s="101"/>
      <c r="M117" s="82"/>
    </row>
    <row r="118" spans="5:13" ht="12.75">
      <c r="E118" s="87"/>
      <c r="K118" s="101"/>
      <c r="M118" s="82"/>
    </row>
    <row r="119" spans="5:13" ht="12.75">
      <c r="E119" s="87"/>
      <c r="K119" s="101"/>
      <c r="M119" s="82"/>
    </row>
    <row r="120" spans="5:13" ht="12.75">
      <c r="E120" s="87"/>
      <c r="K120" s="101"/>
      <c r="M120" s="82"/>
    </row>
    <row r="121" spans="5:13" ht="12.75">
      <c r="E121" s="87"/>
      <c r="K121" s="101"/>
      <c r="M121" s="82"/>
    </row>
    <row r="122" spans="5:13" ht="12.75">
      <c r="E122" s="87"/>
      <c r="K122" s="101"/>
      <c r="M122" s="82"/>
    </row>
    <row r="123" spans="5:13" ht="12.75">
      <c r="E123" s="87"/>
      <c r="K123" s="101"/>
      <c r="M123" s="82"/>
    </row>
    <row r="124" spans="5:13" ht="12.75">
      <c r="E124" s="87"/>
      <c r="K124" s="101"/>
      <c r="M124" s="82"/>
    </row>
    <row r="125" spans="5:13" ht="12.75">
      <c r="E125" s="87"/>
      <c r="K125" s="101"/>
      <c r="M125" s="82"/>
    </row>
    <row r="126" spans="5:13" ht="12.75">
      <c r="E126" s="87"/>
      <c r="K126" s="101"/>
      <c r="M126" s="82"/>
    </row>
    <row r="127" spans="5:13" ht="12.75">
      <c r="E127" s="87"/>
      <c r="K127" s="101"/>
      <c r="M127" s="82"/>
    </row>
    <row r="128" spans="5:13" ht="12.75">
      <c r="E128" s="87"/>
      <c r="K128" s="101"/>
      <c r="M128" s="82"/>
    </row>
    <row r="129" spans="5:13" ht="12.75">
      <c r="E129" s="87"/>
      <c r="K129" s="101"/>
      <c r="M129" s="82"/>
    </row>
    <row r="130" spans="5:13" ht="12.75">
      <c r="E130" s="87"/>
      <c r="K130" s="101"/>
      <c r="M130" s="82"/>
    </row>
    <row r="131" spans="5:13" ht="12.75">
      <c r="E131" s="87"/>
      <c r="K131" s="101"/>
      <c r="M131" s="82"/>
    </row>
    <row r="132" spans="5:13" ht="12.75">
      <c r="E132" s="87"/>
      <c r="K132" s="101"/>
      <c r="M132" s="82"/>
    </row>
    <row r="133" spans="5:13" ht="12.75">
      <c r="E133" s="87"/>
      <c r="K133" s="101"/>
      <c r="M133" s="82"/>
    </row>
    <row r="134" spans="5:13" ht="12.75">
      <c r="E134" s="87"/>
      <c r="K134" s="101"/>
      <c r="M134" s="82"/>
    </row>
    <row r="135" spans="5:13" ht="12.75">
      <c r="E135" s="87"/>
      <c r="K135" s="101"/>
      <c r="M135" s="82"/>
    </row>
    <row r="136" spans="5:13" ht="12.75">
      <c r="E136" s="87"/>
      <c r="K136" s="101"/>
      <c r="M136" s="82"/>
    </row>
    <row r="137" spans="5:13" ht="12.75">
      <c r="E137" s="87"/>
      <c r="K137" s="101"/>
      <c r="M137" s="82"/>
    </row>
    <row r="138" spans="5:13" ht="12.75">
      <c r="E138" s="87"/>
      <c r="K138" s="101"/>
      <c r="M138" s="82"/>
    </row>
    <row r="139" spans="5:13" ht="12.75">
      <c r="E139" s="87"/>
      <c r="K139" s="101"/>
      <c r="M139" s="82"/>
    </row>
    <row r="140" spans="5:13" ht="12.75">
      <c r="E140" s="87"/>
      <c r="K140" s="101"/>
      <c r="M140" s="82"/>
    </row>
    <row r="141" spans="5:13" ht="12.75">
      <c r="E141" s="87"/>
      <c r="K141" s="101"/>
      <c r="M141" s="82"/>
    </row>
    <row r="142" spans="5:13" ht="12.75">
      <c r="E142" s="87"/>
      <c r="K142" s="101"/>
      <c r="M142" s="82"/>
    </row>
    <row r="143" spans="5:13" ht="12.75">
      <c r="E143" s="87"/>
      <c r="K143" s="101"/>
      <c r="M143" s="82"/>
    </row>
    <row r="144" spans="5:13" ht="12.75">
      <c r="E144" s="87"/>
      <c r="K144" s="101"/>
      <c r="M144" s="82"/>
    </row>
    <row r="145" spans="5:13" ht="12.75">
      <c r="E145" s="87"/>
      <c r="K145" s="101"/>
      <c r="M145" s="82"/>
    </row>
    <row r="146" spans="11:13" ht="12.75">
      <c r="K146" s="101"/>
      <c r="M146" s="82"/>
    </row>
    <row r="147" spans="11:13" ht="12.75">
      <c r="K147" s="101"/>
      <c r="M147" s="82"/>
    </row>
    <row r="148" spans="11:13" ht="12.75">
      <c r="K148" s="101"/>
      <c r="M148" s="82"/>
    </row>
    <row r="149" spans="11:13" ht="12.75">
      <c r="K149" s="101"/>
      <c r="M149" s="82"/>
    </row>
    <row r="150" spans="11:13" ht="12.75">
      <c r="K150" s="101"/>
      <c r="M150" s="82"/>
    </row>
    <row r="151" spans="11:13" ht="12.75">
      <c r="K151" s="101"/>
      <c r="M151" s="82"/>
    </row>
    <row r="152" spans="11:13" ht="12.75">
      <c r="K152" s="101"/>
      <c r="M152" s="82"/>
    </row>
    <row r="153" spans="11:13" ht="12.75">
      <c r="K153" s="101"/>
      <c r="M153" s="82"/>
    </row>
    <row r="154" spans="11:13" ht="12.75">
      <c r="K154" s="101"/>
      <c r="M154" s="82"/>
    </row>
    <row r="155" spans="11:13" ht="12.75">
      <c r="K155" s="101"/>
      <c r="M155" s="82"/>
    </row>
    <row r="156" spans="11:13" ht="12.75">
      <c r="K156" s="101"/>
      <c r="M156" s="82"/>
    </row>
    <row r="157" spans="11:13" ht="12.75">
      <c r="K157" s="101"/>
      <c r="M157" s="82"/>
    </row>
    <row r="158" spans="11:13" ht="12.75">
      <c r="K158" s="101"/>
      <c r="M158" s="82"/>
    </row>
    <row r="159" spans="11:13" ht="12.75">
      <c r="K159" s="101"/>
      <c r="M159" s="82"/>
    </row>
    <row r="160" spans="11:13" ht="12.75">
      <c r="K160" s="101"/>
      <c r="M160" s="82"/>
    </row>
    <row r="161" spans="11:13" ht="12.75">
      <c r="K161" s="101"/>
      <c r="M161" s="82"/>
    </row>
    <row r="162" spans="11:13" ht="12.75">
      <c r="K162" s="101"/>
      <c r="M162" s="82"/>
    </row>
    <row r="163" spans="11:13" ht="12.75">
      <c r="K163" s="101"/>
      <c r="M163" s="82"/>
    </row>
    <row r="164" spans="11:13" ht="12.75">
      <c r="K164" s="101"/>
      <c r="M164" s="82"/>
    </row>
    <row r="165" spans="11:13" ht="12.75">
      <c r="K165" s="101"/>
      <c r="M165" s="82"/>
    </row>
    <row r="166" spans="11:13" ht="12.75">
      <c r="K166" s="101"/>
      <c r="M166" s="82"/>
    </row>
    <row r="167" spans="11:13" ht="12.75">
      <c r="K167" s="101"/>
      <c r="M167" s="82"/>
    </row>
    <row r="168" spans="11:13" ht="12.75">
      <c r="K168" s="101"/>
      <c r="M168" s="82"/>
    </row>
    <row r="169" spans="11:13" ht="12.75">
      <c r="K169" s="101"/>
      <c r="M169" s="82"/>
    </row>
    <row r="170" spans="11:13" ht="12.75">
      <c r="K170" s="101"/>
      <c r="M170" s="82"/>
    </row>
    <row r="171" spans="11:13" ht="12.75">
      <c r="K171" s="101"/>
      <c r="M171" s="82"/>
    </row>
    <row r="172" spans="11:13" ht="12.75">
      <c r="K172" s="101"/>
      <c r="M172" s="82"/>
    </row>
    <row r="173" spans="11:13" ht="12.75">
      <c r="K173" s="101"/>
      <c r="M173" s="82"/>
    </row>
  </sheetData>
  <sheetProtection/>
  <mergeCells count="4">
    <mergeCell ref="J2:O2"/>
    <mergeCell ref="E3:F3"/>
    <mergeCell ref="M3:N3"/>
    <mergeCell ref="B2:G2"/>
  </mergeCells>
  <printOptions/>
  <pageMargins left="0.7874015748031497" right="0.1968503937007874" top="0.5905511811023623" bottom="0.5905511811023623" header="0.31496062992125984" footer="0.31496062992125984"/>
  <pageSetup fitToHeight="1" fitToWidth="1" horizontalDpi="600" verticalDpi="600" orientation="portrait" paperSize="9" scale="68" r:id="rId1"/>
  <headerFooter alignWithMargins="0">
    <oddHeader>&amp;L&amp;"Arial,Tučné"&amp;16Návrh  úpravy rozpočtu  MČ Praha 16  na  rok 2014&amp;R&amp;"Arial,Kurzíva"&amp;8ZMČ 18.06.2014 příl 2a/</oddHeader>
    <oddFooter>&amp;L&amp;7&amp;F&amp;R&amp;7&amp;P/&amp;N</oddFoot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Radotín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Tišlová</dc:creator>
  <cp:keywords/>
  <dc:description/>
  <cp:lastModifiedBy>Hejrová Jana, DiS.</cp:lastModifiedBy>
  <cp:lastPrinted>2014-06-05T19:17:17Z</cp:lastPrinted>
  <dcterms:created xsi:type="dcterms:W3CDTF">2013-12-03T05:01:01Z</dcterms:created>
  <dcterms:modified xsi:type="dcterms:W3CDTF">2016-01-30T16:49:02Z</dcterms:modified>
  <cp:category/>
  <cp:version/>
  <cp:contentType/>
  <cp:contentStatus/>
</cp:coreProperties>
</file>