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4520" windowHeight="8910" activeTab="0"/>
  </bookViews>
  <sheets>
    <sheet name="EČ 12 2008" sheetId="1" r:id="rId1"/>
  </sheets>
  <definedNames>
    <definedName name="_xlnm.Print_Titles" localSheetId="0">'EČ 12 2008'!$A:$A,'EČ 12 2008'!$1:$1</definedName>
  </definedNames>
  <calcPr fullCalcOnLoad="1"/>
</workbook>
</file>

<file path=xl/sharedStrings.xml><?xml version="1.0" encoding="utf-8"?>
<sst xmlns="http://schemas.openxmlformats.org/spreadsheetml/2006/main" count="90" uniqueCount="84">
  <si>
    <t>nájemní smlouvy</t>
  </si>
  <si>
    <t xml:space="preserve"> </t>
  </si>
  <si>
    <t>43512 PS fyzioter               43142</t>
  </si>
  <si>
    <t>3319 kult.stř</t>
  </si>
  <si>
    <t>3313 kino</t>
  </si>
  <si>
    <t>16 Noviny P 16</t>
  </si>
  <si>
    <t>4 NZZ</t>
  </si>
  <si>
    <t>3314 knihovna</t>
  </si>
  <si>
    <t>89601 tržiště</t>
  </si>
  <si>
    <t>602 prodej služeb</t>
  </si>
  <si>
    <t>604 prodej zboží</t>
  </si>
  <si>
    <t>644 úroky</t>
  </si>
  <si>
    <t>649 jiné ost.výnosy</t>
  </si>
  <si>
    <t>651 prodej                  NIM a HIM</t>
  </si>
  <si>
    <t>501 materiál</t>
  </si>
  <si>
    <t>502 energie</t>
  </si>
  <si>
    <t>518 ost.služby</t>
  </si>
  <si>
    <t>521 mzd.nákl</t>
  </si>
  <si>
    <t>524 zák.soc.poj</t>
  </si>
  <si>
    <t>543 odpis nedobyt</t>
  </si>
  <si>
    <t>552 zůst. cena prod</t>
  </si>
  <si>
    <t>náklady</t>
  </si>
  <si>
    <t>výnosy</t>
  </si>
  <si>
    <t xml:space="preserve"> AU 16 ?</t>
  </si>
  <si>
    <t>4522 rekr.zař</t>
  </si>
  <si>
    <r>
      <t xml:space="preserve">110819 </t>
    </r>
    <r>
      <rPr>
        <i/>
        <sz val="7"/>
        <rFont val="Arial CE"/>
        <family val="2"/>
      </rPr>
      <t>parkoviště NZZ</t>
    </r>
  </si>
  <si>
    <t>3632 hrob.místa</t>
  </si>
  <si>
    <t>5163 bank.popl</t>
  </si>
  <si>
    <t>zisk (+) ztráta (-)</t>
  </si>
  <si>
    <t>542 ost. pok. a pen</t>
  </si>
  <si>
    <t>43511 PS dovoz obědů</t>
  </si>
  <si>
    <t>xx 602 - opravy</t>
  </si>
  <si>
    <t>61 čp. Vinohr</t>
  </si>
  <si>
    <t>1367 Petrklíč objekt</t>
  </si>
  <si>
    <t>1522 NDPS</t>
  </si>
  <si>
    <t>prodej OD 2008:</t>
  </si>
  <si>
    <t>265 Prvomájová</t>
  </si>
  <si>
    <t>215 Výpadová</t>
  </si>
  <si>
    <t>277 Výpadová</t>
  </si>
  <si>
    <t>992 Na Viničkách</t>
  </si>
  <si>
    <t>1000 Na Viničkách</t>
  </si>
  <si>
    <t>1001 Na Viničkách</t>
  </si>
  <si>
    <t>1028 Slinková</t>
  </si>
  <si>
    <t>1029 Slinková</t>
  </si>
  <si>
    <t>1030 Slinková</t>
  </si>
  <si>
    <t>1031 Slinková</t>
  </si>
  <si>
    <t>927,928 Slinková</t>
  </si>
  <si>
    <t>192808 ČMC reklama</t>
  </si>
  <si>
    <t>1021 Zderazská</t>
  </si>
  <si>
    <t>1043 Nýřanská</t>
  </si>
  <si>
    <t>578 Tachovská</t>
  </si>
  <si>
    <t>1010 Zderazská</t>
  </si>
  <si>
    <t>1011 Zderazská</t>
  </si>
  <si>
    <t>1013 Živcová</t>
  </si>
  <si>
    <t>1022 Otínská</t>
  </si>
  <si>
    <t>61712 park.hod. prodej</t>
  </si>
  <si>
    <r>
      <t xml:space="preserve">61716 stánky </t>
    </r>
    <r>
      <rPr>
        <i/>
        <sz val="7"/>
        <rFont val="Arial CE"/>
        <family val="2"/>
      </rPr>
      <t>pronájem</t>
    </r>
  </si>
  <si>
    <t>6171 plakát, rozhlas</t>
  </si>
  <si>
    <r>
      <t xml:space="preserve">511 </t>
    </r>
    <r>
      <rPr>
        <i/>
        <sz val="7"/>
        <rFont val="Arial CE"/>
        <family val="2"/>
      </rPr>
      <t xml:space="preserve">opravy           a údržba         </t>
    </r>
    <r>
      <rPr>
        <b/>
        <i/>
        <sz val="8"/>
        <rFont val="Arial CE"/>
        <family val="2"/>
      </rPr>
      <t>512</t>
    </r>
    <r>
      <rPr>
        <i/>
        <sz val="7"/>
        <rFont val="Arial CE"/>
        <family val="2"/>
      </rPr>
      <t xml:space="preserve"> cestovné</t>
    </r>
  </si>
  <si>
    <t>1368 MŠ ??</t>
  </si>
  <si>
    <t>1703 06 ??</t>
  </si>
  <si>
    <t>61719 ?? V náj.sml</t>
  </si>
  <si>
    <r>
      <t xml:space="preserve">503 ost. </t>
    </r>
    <r>
      <rPr>
        <b/>
        <i/>
        <sz val="7"/>
        <rFont val="Arial CE"/>
        <family val="2"/>
      </rPr>
      <t>neskl.dod</t>
    </r>
  </si>
  <si>
    <t>1379 U star.stad</t>
  </si>
  <si>
    <t>532 DzN 538 daně a popl</t>
  </si>
  <si>
    <r>
      <t>542</t>
    </r>
    <r>
      <rPr>
        <b/>
        <i/>
        <sz val="7"/>
        <rFont val="Arial CE"/>
        <family val="2"/>
      </rPr>
      <t xml:space="preserve"> pok.a pen. </t>
    </r>
    <r>
      <rPr>
        <b/>
        <i/>
        <sz val="8"/>
        <rFont val="Arial CE"/>
        <family val="2"/>
      </rPr>
      <t>549</t>
    </r>
    <r>
      <rPr>
        <b/>
        <i/>
        <sz val="7"/>
        <rFont val="Arial CE"/>
        <family val="2"/>
      </rPr>
      <t xml:space="preserve"> jiné ost.nákl</t>
    </r>
  </si>
  <si>
    <t>551 Na viničkách</t>
  </si>
  <si>
    <t>z toho DPPO:        -2.104.619,22</t>
  </si>
  <si>
    <t>570 …. Chybně - patří na 578</t>
  </si>
  <si>
    <r>
      <t xml:space="preserve">333 </t>
    </r>
    <r>
      <rPr>
        <i/>
        <sz val="7"/>
        <rFont val="Arial CE"/>
        <family val="2"/>
      </rPr>
      <t>oprava TV Net dříve do náj.sml</t>
    </r>
  </si>
  <si>
    <r>
      <t xml:space="preserve">956 </t>
    </r>
    <r>
      <rPr>
        <i/>
        <sz val="7"/>
        <rFont val="Arial CE"/>
        <family val="2"/>
      </rPr>
      <t xml:space="preserve">opravy účt. čerp ÚO                   </t>
    </r>
    <r>
      <rPr>
        <i/>
        <strike/>
        <sz val="6"/>
        <rFont val="Arial CE"/>
        <family val="2"/>
      </rPr>
      <t>1024 čerpání ÚO 1015 opravy účtování</t>
    </r>
  </si>
  <si>
    <r>
      <t xml:space="preserve">1024 </t>
    </r>
    <r>
      <rPr>
        <i/>
        <sz val="7"/>
        <rFont val="Arial CE"/>
        <family val="2"/>
      </rPr>
      <t>oprava nájemné OD</t>
    </r>
  </si>
  <si>
    <t xml:space="preserve">1493 oprava ? 10/2008 o náj.sml </t>
  </si>
  <si>
    <r>
      <t>4520 DS nebyt</t>
    </r>
    <r>
      <rPr>
        <i/>
        <sz val="7"/>
        <rFont val="Arial CE"/>
        <family val="2"/>
      </rPr>
      <t xml:space="preserve"> vč.opravy účt</t>
    </r>
  </si>
  <si>
    <r>
      <t>8696 ??</t>
    </r>
    <r>
      <rPr>
        <i/>
        <sz val="7"/>
        <rFont val="Arial CE"/>
        <family val="2"/>
      </rPr>
      <t xml:space="preserve"> náj.sml Sladký</t>
    </r>
  </si>
  <si>
    <r>
      <t xml:space="preserve">21903 lék.Adonia   </t>
    </r>
    <r>
      <rPr>
        <i/>
        <sz val="7"/>
        <rFont val="Arial CE"/>
        <family val="2"/>
      </rPr>
      <t xml:space="preserve"> do náj.sml</t>
    </r>
  </si>
  <si>
    <r>
      <t xml:space="preserve">090208 ples MČ              </t>
    </r>
    <r>
      <rPr>
        <i/>
        <strike/>
        <sz val="6"/>
        <rFont val="Arial CE"/>
        <family val="2"/>
      </rPr>
      <t>030207</t>
    </r>
  </si>
  <si>
    <t>43513 SZPS                         43122</t>
  </si>
  <si>
    <r>
      <t>61715 TV Net</t>
    </r>
    <r>
      <rPr>
        <i/>
        <sz val="7"/>
        <rFont val="Arial CE"/>
        <family val="2"/>
      </rPr>
      <t xml:space="preserve"> vč.oprav tras </t>
    </r>
    <r>
      <rPr>
        <i/>
        <sz val="8"/>
        <rFont val="Arial CE"/>
        <family val="2"/>
      </rPr>
      <t xml:space="preserve">         5</t>
    </r>
    <r>
      <rPr>
        <i/>
        <strike/>
        <sz val="7"/>
        <rFont val="Arial CE"/>
        <family val="2"/>
      </rPr>
      <t>,6 plakát,rozhlas</t>
    </r>
  </si>
  <si>
    <t>6171 (48108 prodej nábytku 73808 telefony)</t>
  </si>
  <si>
    <r>
      <t>V:Keitzl 61799</t>
    </r>
    <r>
      <rPr>
        <i/>
        <sz val="8"/>
        <rFont val="Arial CE"/>
        <family val="2"/>
      </rPr>
      <t xml:space="preserve"> N:67199</t>
    </r>
    <r>
      <rPr>
        <i/>
        <sz val="7"/>
        <rFont val="Arial CE"/>
        <family val="2"/>
      </rPr>
      <t xml:space="preserve"> náj. cyklostezka do náj.sml</t>
    </r>
  </si>
  <si>
    <r>
      <t xml:space="preserve">88701 sml Trigema </t>
    </r>
    <r>
      <rPr>
        <i/>
        <sz val="7"/>
        <rFont val="Arial CE"/>
        <family val="2"/>
      </rPr>
      <t>oprava účt do náj.sml</t>
    </r>
  </si>
  <si>
    <r>
      <t>146505 Farnost</t>
    </r>
    <r>
      <rPr>
        <i/>
        <sz val="7"/>
        <rFont val="Arial CE"/>
        <family val="2"/>
      </rPr>
      <t xml:space="preserve">       do náj.sml</t>
    </r>
  </si>
  <si>
    <t>prodej pozemku 2135/60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</si>
</sst>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b/>
      <i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9"/>
      <color indexed="1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i/>
      <sz val="7"/>
      <name val="Arial CE"/>
      <family val="2"/>
    </font>
    <font>
      <b/>
      <i/>
      <sz val="11"/>
      <name val="Arial CE"/>
      <family val="2"/>
    </font>
    <font>
      <b/>
      <i/>
      <sz val="11"/>
      <color indexed="17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strike/>
      <sz val="7"/>
      <name val="Arial CE"/>
      <family val="2"/>
    </font>
    <font>
      <b/>
      <i/>
      <sz val="7"/>
      <name val="Arial CE"/>
      <family val="2"/>
    </font>
    <font>
      <i/>
      <strike/>
      <sz val="6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4" fontId="3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9" fillId="0" borderId="0" xfId="0" applyNumberFormat="1" applyFont="1" applyFill="1" applyAlignment="1">
      <alignment horizontal="center" wrapText="1"/>
    </xf>
    <xf numFmtId="4" fontId="1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/>
    </xf>
    <xf numFmtId="4" fontId="17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4" fontId="1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85" zoomScaleNormal="8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18" sqref="U18"/>
    </sheetView>
  </sheetViews>
  <sheetFormatPr defaultColWidth="9.00390625" defaultRowHeight="12.75"/>
  <cols>
    <col min="1" max="1" width="15.125" style="3" customWidth="1"/>
    <col min="2" max="2" width="9.375" style="3" hidden="1" customWidth="1"/>
    <col min="3" max="3" width="9.875" style="22" hidden="1" customWidth="1"/>
    <col min="4" max="4" width="13.625" style="22" customWidth="1"/>
    <col min="5" max="5" width="9.625" style="22" customWidth="1"/>
    <col min="6" max="6" width="0" style="22" hidden="1" customWidth="1"/>
    <col min="7" max="7" width="8.75390625" style="22" customWidth="1"/>
    <col min="8" max="8" width="13.125" style="22" customWidth="1"/>
    <col min="9" max="9" width="12.375" style="22" customWidth="1"/>
    <col min="10" max="10" width="13.625" style="22" customWidth="1"/>
    <col min="11" max="11" width="11.375" style="23" customWidth="1"/>
    <col min="12" max="12" width="10.875" style="23" customWidth="1"/>
    <col min="13" max="13" width="8.75390625" style="23" customWidth="1"/>
    <col min="14" max="15" width="11.00390625" style="23" customWidth="1"/>
    <col min="16" max="16" width="12.625" style="23" customWidth="1"/>
    <col min="17" max="17" width="11.00390625" style="23" customWidth="1"/>
    <col min="18" max="18" width="9.875" style="23" customWidth="1"/>
    <col min="19" max="19" width="5.75390625" style="7" hidden="1" customWidth="1"/>
    <col min="20" max="20" width="5.75390625" style="23" hidden="1" customWidth="1"/>
    <col min="21" max="21" width="11.25390625" style="23" customWidth="1"/>
    <col min="22" max="22" width="0" style="23" hidden="1" customWidth="1"/>
    <col min="23" max="23" width="13.125" style="23" customWidth="1"/>
    <col min="24" max="24" width="13.625" style="34" customWidth="1"/>
  </cols>
  <sheetData>
    <row r="1" spans="1:24" s="1" customFormat="1" ht="34.5" customHeight="1">
      <c r="A1" s="26" t="s">
        <v>1</v>
      </c>
      <c r="B1" s="2"/>
      <c r="D1" s="1" t="s">
        <v>9</v>
      </c>
      <c r="E1" s="1" t="s">
        <v>10</v>
      </c>
      <c r="G1" s="1" t="s">
        <v>11</v>
      </c>
      <c r="H1" s="1" t="s">
        <v>12</v>
      </c>
      <c r="I1" s="1" t="s">
        <v>13</v>
      </c>
      <c r="J1" s="4" t="s">
        <v>22</v>
      </c>
      <c r="K1" s="19" t="s">
        <v>14</v>
      </c>
      <c r="L1" s="19" t="s">
        <v>15</v>
      </c>
      <c r="M1" s="19" t="s">
        <v>62</v>
      </c>
      <c r="N1" s="19" t="s">
        <v>58</v>
      </c>
      <c r="O1" s="19" t="s">
        <v>16</v>
      </c>
      <c r="P1" s="19" t="s">
        <v>17</v>
      </c>
      <c r="Q1" s="19" t="s">
        <v>18</v>
      </c>
      <c r="R1" s="19" t="s">
        <v>64</v>
      </c>
      <c r="S1" s="19" t="s">
        <v>29</v>
      </c>
      <c r="T1" s="19" t="s">
        <v>19</v>
      </c>
      <c r="U1" s="19" t="s">
        <v>65</v>
      </c>
      <c r="V1" s="19" t="s">
        <v>20</v>
      </c>
      <c r="W1" s="25" t="s">
        <v>21</v>
      </c>
      <c r="X1" s="8" t="s">
        <v>28</v>
      </c>
    </row>
    <row r="2" spans="1:24" s="9" customFormat="1" ht="12.75">
      <c r="A2" s="5" t="s">
        <v>31</v>
      </c>
      <c r="B2" s="5"/>
      <c r="C2" s="7"/>
      <c r="D2" s="16">
        <v>-43258</v>
      </c>
      <c r="E2" s="7"/>
      <c r="F2" s="7"/>
      <c r="G2" s="16">
        <f>3/3*1814.82*0+6/6*3261.54*0+9/9*4059.21*0+12/12*4852.5</f>
        <v>4852.5</v>
      </c>
      <c r="H2" s="7">
        <f>10/10*-5525.58+12/12*-2104619.22</f>
        <v>-2110144.8000000003</v>
      </c>
      <c r="I2" s="7"/>
      <c r="J2" s="17">
        <f>SUM(C2:I2)</f>
        <v>-2148550.3000000003</v>
      </c>
      <c r="K2" s="7"/>
      <c r="L2" s="7"/>
      <c r="M2" s="7"/>
      <c r="N2" s="7"/>
      <c r="O2" s="7">
        <f>89/89*-58513.46</f>
        <v>-58513.46</v>
      </c>
      <c r="P2" s="7"/>
      <c r="Q2" s="7"/>
      <c r="R2" s="7"/>
      <c r="S2" s="7"/>
      <c r="T2" s="7"/>
      <c r="U2" s="7">
        <f>89/89*0.01</f>
        <v>0.01</v>
      </c>
      <c r="V2" s="7"/>
      <c r="W2" s="6">
        <f>SUM(K2:V2)</f>
        <v>-58513.45</v>
      </c>
      <c r="X2" s="10">
        <f>J2-W2</f>
        <v>-2090036.8500000003</v>
      </c>
    </row>
    <row r="3" spans="1:24" s="9" customFormat="1" ht="12.75">
      <c r="A3" s="5" t="s">
        <v>6</v>
      </c>
      <c r="B3" s="5"/>
      <c r="C3" s="7"/>
      <c r="D3" s="7"/>
      <c r="E3" s="7"/>
      <c r="F3" s="7"/>
      <c r="G3" s="7"/>
      <c r="H3" s="7"/>
      <c r="I3" s="7"/>
      <c r="J3" s="6">
        <f>SUM(C3:I3)</f>
        <v>0</v>
      </c>
      <c r="K3" s="7">
        <f>15560.08*0+3/3*16139.31*0+5/5*16477.97+7/7*1088.83+89/89*1428.57+11/11*1889.41+12/12*4205.74</f>
        <v>25090.520000000004</v>
      </c>
      <c r="L3" s="7"/>
      <c r="M3" s="7">
        <f>5/5*294.96+7/7*294.12+89/89*214.29+11/11*126.05</f>
        <v>929.4199999999998</v>
      </c>
      <c r="N3" s="7"/>
      <c r="O3" s="7">
        <f>5/5*136.13+89/89*2527.82</f>
        <v>2663.9500000000003</v>
      </c>
      <c r="P3" s="7"/>
      <c r="Q3" s="7"/>
      <c r="R3" s="7"/>
      <c r="S3" s="7"/>
      <c r="T3" s="7"/>
      <c r="U3" s="7">
        <f>0.01*0+3/3*0.22+7/7*0.29+89/89*-0.01+11/11*-0.4+12/12*0.17</f>
        <v>0.27</v>
      </c>
      <c r="V3" s="7"/>
      <c r="W3" s="17">
        <f>SUM(K3:V3)</f>
        <v>28684.160000000003</v>
      </c>
      <c r="X3" s="10">
        <f>J3-W3</f>
        <v>-28684.160000000003</v>
      </c>
    </row>
    <row r="4" spans="1:24" s="9" customFormat="1" ht="12.75">
      <c r="A4" s="5" t="s">
        <v>5</v>
      </c>
      <c r="B4" s="5"/>
      <c r="C4" s="7"/>
      <c r="D4" s="7">
        <f>91504.03*0+3/3*147673.45*0+4/4*207044.43*0+5/5*263038.43*0+6/6*322219.52*0+9/9*363845.9*0+10/10*473777.9*0+11/11*532840.29*0+12/12*586816.54</f>
        <v>586816.54</v>
      </c>
      <c r="E4" s="7"/>
      <c r="F4" s="7"/>
      <c r="G4" s="7"/>
      <c r="H4" s="7">
        <f>1.1*0+3/3*0.5*0+4/4*2.35*0+5/5*3.1*0+6/6*3.85+7/7*1+9/9*2.25+10/10*1.39+11/11*1+12/12*1.5</f>
        <v>10.99</v>
      </c>
      <c r="I4" s="7"/>
      <c r="J4" s="17">
        <f>SUM(C4:I4)</f>
        <v>586827.53</v>
      </c>
      <c r="K4" s="7"/>
      <c r="L4" s="7"/>
      <c r="M4" s="7"/>
      <c r="N4" s="7"/>
      <c r="O4" s="7">
        <f>14648*0+3/3*69912*0+4/4*151528*0+5/5*158884*0+6/6*245799.57+89/89*84756+10/10*81840+11/11*7840+12/12*7840</f>
        <v>428075.57</v>
      </c>
      <c r="P4" s="7">
        <f>12/12*527893</f>
        <v>527893</v>
      </c>
      <c r="Q4" s="7">
        <f>12/12*184763</f>
        <v>184763</v>
      </c>
      <c r="R4" s="7"/>
      <c r="S4" s="7"/>
      <c r="T4" s="7"/>
      <c r="U4" s="7">
        <f>-0.12*0+3/3*-0.18*0+4/4*-0.72*0+5/5*-0.36*0+6/6*-0.5+89/89*0.26+10/10*0.4+11/11*0.4+12/12*0.4</f>
        <v>0.9600000000000001</v>
      </c>
      <c r="V4" s="7"/>
      <c r="W4" s="17">
        <f>SUM(K4:V4)</f>
        <v>1140732.53</v>
      </c>
      <c r="X4" s="10">
        <f>J4-W4</f>
        <v>-553905</v>
      </c>
    </row>
    <row r="5" spans="1:24" s="9" customFormat="1" ht="12.75">
      <c r="A5" s="5" t="s">
        <v>32</v>
      </c>
      <c r="B5" s="5"/>
      <c r="C5" s="7"/>
      <c r="D5" s="7"/>
      <c r="E5" s="7"/>
      <c r="F5" s="7"/>
      <c r="G5" s="7"/>
      <c r="H5" s="7"/>
      <c r="I5" s="7"/>
      <c r="J5" s="6">
        <f>SUM(C5:I5)</f>
        <v>0</v>
      </c>
      <c r="K5" s="7"/>
      <c r="L5" s="7"/>
      <c r="M5" s="7"/>
      <c r="N5" s="7">
        <f>11/11*2700</f>
        <v>2700</v>
      </c>
      <c r="O5" s="7">
        <f>4/4*2700*0*11/11</f>
        <v>0</v>
      </c>
      <c r="P5" s="7"/>
      <c r="Q5" s="7"/>
      <c r="R5" s="7"/>
      <c r="S5" s="7"/>
      <c r="T5" s="7"/>
      <c r="U5" s="7"/>
      <c r="V5" s="7"/>
      <c r="W5" s="17">
        <f>SUM(K5:V5)</f>
        <v>2700</v>
      </c>
      <c r="X5" s="10">
        <f>J5-W5</f>
        <v>-2700</v>
      </c>
    </row>
    <row r="6" spans="1:24" s="9" customFormat="1" ht="12.75">
      <c r="A6" s="5" t="s">
        <v>35</v>
      </c>
      <c r="B6" s="5"/>
      <c r="C6" s="7"/>
      <c r="D6" s="7"/>
      <c r="E6" s="7"/>
      <c r="F6" s="7"/>
      <c r="G6" s="7"/>
      <c r="H6" s="7"/>
      <c r="I6" s="7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7"/>
      <c r="X6" s="10"/>
    </row>
    <row r="7" spans="1:24" s="9" customFormat="1" ht="12.75">
      <c r="A7" s="5" t="s">
        <v>37</v>
      </c>
      <c r="B7" s="5"/>
      <c r="C7" s="7"/>
      <c r="D7" s="7"/>
      <c r="E7" s="7"/>
      <c r="F7" s="7"/>
      <c r="G7" s="7"/>
      <c r="H7" s="7"/>
      <c r="I7" s="7"/>
      <c r="J7" s="6">
        <f aca="true" t="shared" si="0" ref="J7:J35">SUM(C7:I7)</f>
        <v>0</v>
      </c>
      <c r="K7" s="7"/>
      <c r="L7" s="7"/>
      <c r="M7" s="7"/>
      <c r="N7" s="7"/>
      <c r="O7" s="7">
        <f>3612215/3612215*(6/6*4000+7/7*4000)+89/89*5089.5</f>
        <v>13089.5</v>
      </c>
      <c r="P7" s="7"/>
      <c r="Q7" s="7"/>
      <c r="R7" s="7"/>
      <c r="S7" s="7"/>
      <c r="T7" s="7"/>
      <c r="U7" s="7"/>
      <c r="V7" s="7"/>
      <c r="W7" s="17">
        <f aca="true" t="shared" si="1" ref="W7:W41">SUM(K7:V7)</f>
        <v>13089.5</v>
      </c>
      <c r="X7" s="10">
        <f aca="true" t="shared" si="2" ref="X7:X41">J7-W7</f>
        <v>-13089.5</v>
      </c>
    </row>
    <row r="8" spans="1:24" s="9" customFormat="1" ht="12.75">
      <c r="A8" s="5" t="s">
        <v>36</v>
      </c>
      <c r="B8" s="5"/>
      <c r="C8" s="7"/>
      <c r="D8" s="7"/>
      <c r="E8" s="7"/>
      <c r="F8" s="7"/>
      <c r="G8" s="7"/>
      <c r="H8" s="7"/>
      <c r="I8" s="7"/>
      <c r="J8" s="6">
        <f t="shared" si="0"/>
        <v>0</v>
      </c>
      <c r="K8" s="7"/>
      <c r="L8" s="7"/>
      <c r="M8" s="7"/>
      <c r="N8" s="7"/>
      <c r="O8" s="7">
        <f>6/6*265/265*(10000+3612/3612*(4000+7/7*4000+89/89*5089.5)+1/1*4000*0*7/7)</f>
        <v>23089.5</v>
      </c>
      <c r="P8" s="7"/>
      <c r="Q8" s="7"/>
      <c r="R8" s="7"/>
      <c r="S8" s="7"/>
      <c r="T8" s="7"/>
      <c r="U8" s="7"/>
      <c r="V8" s="7"/>
      <c r="W8" s="17">
        <f t="shared" si="1"/>
        <v>23089.5</v>
      </c>
      <c r="X8" s="10">
        <f t="shared" si="2"/>
        <v>-23089.5</v>
      </c>
    </row>
    <row r="9" spans="1:24" s="9" customFormat="1" ht="12.75">
      <c r="A9" s="5" t="s">
        <v>38</v>
      </c>
      <c r="B9" s="5"/>
      <c r="C9" s="7"/>
      <c r="D9" s="7"/>
      <c r="E9" s="7"/>
      <c r="F9" s="7"/>
      <c r="G9" s="7"/>
      <c r="H9" s="7"/>
      <c r="I9" s="7"/>
      <c r="J9" s="6">
        <f t="shared" si="0"/>
        <v>0</v>
      </c>
      <c r="K9" s="7"/>
      <c r="L9" s="7"/>
      <c r="M9" s="7"/>
      <c r="N9" s="7"/>
      <c r="O9" s="7">
        <f>3612277/3612277*6/6*4000+89/89*5089.5</f>
        <v>9089.5</v>
      </c>
      <c r="P9" s="7"/>
      <c r="Q9" s="7"/>
      <c r="R9" s="7"/>
      <c r="S9" s="7"/>
      <c r="T9" s="7"/>
      <c r="U9" s="7"/>
      <c r="V9" s="7"/>
      <c r="W9" s="17">
        <f t="shared" si="1"/>
        <v>9089.5</v>
      </c>
      <c r="X9" s="10">
        <f t="shared" si="2"/>
        <v>-9089.5</v>
      </c>
    </row>
    <row r="10" spans="1:24" s="9" customFormat="1" ht="12.75" hidden="1">
      <c r="A10" s="5" t="s">
        <v>68</v>
      </c>
      <c r="B10" s="5"/>
      <c r="C10" s="7"/>
      <c r="D10" s="7"/>
      <c r="E10" s="7"/>
      <c r="F10" s="7"/>
      <c r="G10" s="7"/>
      <c r="H10" s="7"/>
      <c r="I10" s="7"/>
      <c r="J10" s="6">
        <f t="shared" si="0"/>
        <v>0</v>
      </c>
      <c r="K10" s="7"/>
      <c r="L10" s="7"/>
      <c r="M10" s="7"/>
      <c r="N10" s="7"/>
      <c r="O10" s="7">
        <f>3612570/3612570*6/6*4000*0*578/578</f>
        <v>0</v>
      </c>
      <c r="P10" s="7"/>
      <c r="Q10" s="7"/>
      <c r="R10" s="7"/>
      <c r="S10" s="7"/>
      <c r="T10" s="7"/>
      <c r="U10" s="7"/>
      <c r="V10" s="7"/>
      <c r="W10" s="17">
        <f t="shared" si="1"/>
        <v>0</v>
      </c>
      <c r="X10" s="10">
        <f t="shared" si="2"/>
        <v>0</v>
      </c>
    </row>
    <row r="11" spans="1:24" s="9" customFormat="1" ht="12.75">
      <c r="A11" s="5" t="s">
        <v>66</v>
      </c>
      <c r="B11" s="5"/>
      <c r="C11" s="7"/>
      <c r="D11" s="7"/>
      <c r="E11" s="7"/>
      <c r="F11" s="7"/>
      <c r="G11" s="7"/>
      <c r="H11" s="7"/>
      <c r="I11" s="7"/>
      <c r="J11" s="6">
        <f t="shared" si="0"/>
        <v>0</v>
      </c>
      <c r="K11" s="7"/>
      <c r="L11" s="7"/>
      <c r="M11" s="7"/>
      <c r="N11" s="7">
        <f>12/12*4887</f>
        <v>4887</v>
      </c>
      <c r="O11" s="7">
        <f>10/10*11000+12/12*3000+3612551/3612551*11000</f>
        <v>25000</v>
      </c>
      <c r="P11" s="7"/>
      <c r="Q11" s="7"/>
      <c r="R11" s="7"/>
      <c r="S11" s="7"/>
      <c r="T11" s="7"/>
      <c r="U11" s="7">
        <f>12/12*0.47</f>
        <v>0.47</v>
      </c>
      <c r="V11" s="7"/>
      <c r="W11" s="17">
        <f>SUM(K11:V11)</f>
        <v>29887.47</v>
      </c>
      <c r="X11" s="10">
        <f>J11-W11</f>
        <v>-29887.47</v>
      </c>
    </row>
    <row r="12" spans="1:24" s="9" customFormat="1" ht="12.75">
      <c r="A12" s="5" t="s">
        <v>50</v>
      </c>
      <c r="B12" s="5"/>
      <c r="C12" s="7"/>
      <c r="D12" s="7"/>
      <c r="E12" s="7"/>
      <c r="F12" s="7"/>
      <c r="G12" s="7"/>
      <c r="H12" s="7"/>
      <c r="I12" s="7"/>
      <c r="J12" s="6">
        <f t="shared" si="0"/>
        <v>0</v>
      </c>
      <c r="K12" s="7"/>
      <c r="L12" s="7"/>
      <c r="M12" s="7"/>
      <c r="N12" s="7"/>
      <c r="O12" s="7">
        <f>3612578/3612578*6/6*4000+3612570/3612570*4000+89/89*5089.5</f>
        <v>13089.5</v>
      </c>
      <c r="P12" s="7"/>
      <c r="Q12" s="7"/>
      <c r="R12" s="7"/>
      <c r="S12" s="7"/>
      <c r="T12" s="7"/>
      <c r="U12" s="7"/>
      <c r="V12" s="7"/>
      <c r="W12" s="17">
        <f t="shared" si="1"/>
        <v>13089.5</v>
      </c>
      <c r="X12" s="10">
        <f t="shared" si="2"/>
        <v>-13089.5</v>
      </c>
    </row>
    <row r="13" spans="1:24" s="9" customFormat="1" ht="12.75">
      <c r="A13" s="5" t="s">
        <v>46</v>
      </c>
      <c r="B13" s="5"/>
      <c r="C13" s="7"/>
      <c r="D13" s="7"/>
      <c r="E13" s="7"/>
      <c r="F13" s="7"/>
      <c r="G13" s="7"/>
      <c r="H13" s="7"/>
      <c r="I13" s="7"/>
      <c r="J13" s="6">
        <f t="shared" si="0"/>
        <v>0</v>
      </c>
      <c r="K13" s="7"/>
      <c r="L13" s="7"/>
      <c r="M13" s="7"/>
      <c r="N13" s="7"/>
      <c r="O13" s="7">
        <f>3612927928/3612927928*(6/6*4000+7/7*4000)+89/89*(927/927*2939.5+928/928*2939.5)</f>
        <v>13879</v>
      </c>
      <c r="P13" s="7"/>
      <c r="Q13" s="7"/>
      <c r="R13" s="7"/>
      <c r="S13" s="7"/>
      <c r="T13" s="7"/>
      <c r="U13" s="7"/>
      <c r="V13" s="7"/>
      <c r="W13" s="17">
        <f t="shared" si="1"/>
        <v>13879</v>
      </c>
      <c r="X13" s="10">
        <f t="shared" si="2"/>
        <v>-13879</v>
      </c>
    </row>
    <row r="14" spans="1:24" s="9" customFormat="1" ht="12.75">
      <c r="A14" s="5" t="s">
        <v>39</v>
      </c>
      <c r="B14" s="5"/>
      <c r="C14" s="7"/>
      <c r="D14" s="7"/>
      <c r="E14" s="7"/>
      <c r="F14" s="7"/>
      <c r="G14" s="7"/>
      <c r="H14" s="7"/>
      <c r="I14" s="7"/>
      <c r="J14" s="6">
        <f t="shared" si="0"/>
        <v>0</v>
      </c>
      <c r="K14" s="7"/>
      <c r="L14" s="7"/>
      <c r="M14" s="7"/>
      <c r="N14" s="7"/>
      <c r="O14" s="7">
        <f>3612992/3612992*6/6*4000+89/89*5089.5</f>
        <v>9089.5</v>
      </c>
      <c r="P14" s="7"/>
      <c r="Q14" s="7"/>
      <c r="R14" s="7"/>
      <c r="S14" s="7"/>
      <c r="T14" s="7"/>
      <c r="U14" s="7"/>
      <c r="V14" s="7"/>
      <c r="W14" s="17">
        <f t="shared" si="1"/>
        <v>9089.5</v>
      </c>
      <c r="X14" s="10">
        <f t="shared" si="2"/>
        <v>-9089.5</v>
      </c>
    </row>
    <row r="15" spans="1:24" s="9" customFormat="1" ht="12.75">
      <c r="A15" s="5" t="s">
        <v>40</v>
      </c>
      <c r="B15" s="5"/>
      <c r="C15" s="7"/>
      <c r="D15" s="7"/>
      <c r="E15" s="7"/>
      <c r="F15" s="7"/>
      <c r="G15" s="7"/>
      <c r="H15" s="7"/>
      <c r="I15" s="7"/>
      <c r="J15" s="6">
        <f t="shared" si="0"/>
        <v>0</v>
      </c>
      <c r="K15" s="7"/>
      <c r="L15" s="7"/>
      <c r="M15" s="7"/>
      <c r="N15" s="7"/>
      <c r="O15" s="7">
        <f>36121000/36121000*6/6*4000+89/89*5089.5</f>
        <v>9089.5</v>
      </c>
      <c r="P15" s="7"/>
      <c r="Q15" s="7"/>
      <c r="R15" s="7"/>
      <c r="S15" s="7"/>
      <c r="T15" s="7"/>
      <c r="U15" s="7"/>
      <c r="V15" s="7"/>
      <c r="W15" s="17">
        <f t="shared" si="1"/>
        <v>9089.5</v>
      </c>
      <c r="X15" s="10">
        <f t="shared" si="2"/>
        <v>-9089.5</v>
      </c>
    </row>
    <row r="16" spans="1:24" s="9" customFormat="1" ht="12.75">
      <c r="A16" s="5" t="s">
        <v>41</v>
      </c>
      <c r="B16" s="5"/>
      <c r="C16" s="7"/>
      <c r="D16" s="7"/>
      <c r="E16" s="7"/>
      <c r="F16" s="7"/>
      <c r="G16" s="7"/>
      <c r="H16" s="7"/>
      <c r="I16" s="7"/>
      <c r="J16" s="6">
        <f t="shared" si="0"/>
        <v>0</v>
      </c>
      <c r="K16" s="7"/>
      <c r="L16" s="7"/>
      <c r="M16" s="7"/>
      <c r="N16" s="7"/>
      <c r="O16" s="7">
        <f>36121001/36121001*6/6*4000+89/89*5089.5</f>
        <v>9089.5</v>
      </c>
      <c r="P16" s="7"/>
      <c r="Q16" s="7"/>
      <c r="R16" s="7"/>
      <c r="S16" s="7"/>
      <c r="T16" s="7"/>
      <c r="U16" s="7"/>
      <c r="V16" s="7"/>
      <c r="W16" s="17">
        <f t="shared" si="1"/>
        <v>9089.5</v>
      </c>
      <c r="X16" s="10">
        <f t="shared" si="2"/>
        <v>-9089.5</v>
      </c>
    </row>
    <row r="17" spans="1:24" s="9" customFormat="1" ht="12.75">
      <c r="A17" s="5" t="s">
        <v>51</v>
      </c>
      <c r="B17" s="5"/>
      <c r="C17" s="7"/>
      <c r="D17" s="7"/>
      <c r="E17" s="7"/>
      <c r="F17" s="7"/>
      <c r="G17" s="7"/>
      <c r="H17" s="7"/>
      <c r="I17" s="7"/>
      <c r="J17" s="6">
        <f t="shared" si="0"/>
        <v>0</v>
      </c>
      <c r="K17" s="7"/>
      <c r="L17" s="7"/>
      <c r="M17" s="7"/>
      <c r="N17" s="7"/>
      <c r="O17" s="7">
        <f>36121010/36121010*7/7*4000+89/89*5089.5</f>
        <v>9089.5</v>
      </c>
      <c r="P17" s="7"/>
      <c r="Q17" s="7"/>
      <c r="R17" s="7"/>
      <c r="S17" s="7"/>
      <c r="T17" s="7"/>
      <c r="U17" s="7"/>
      <c r="V17" s="7"/>
      <c r="W17" s="17">
        <f t="shared" si="1"/>
        <v>9089.5</v>
      </c>
      <c r="X17" s="10">
        <f t="shared" si="2"/>
        <v>-9089.5</v>
      </c>
    </row>
    <row r="18" spans="1:24" s="9" customFormat="1" ht="12.75">
      <c r="A18" s="5" t="s">
        <v>52</v>
      </c>
      <c r="B18" s="5"/>
      <c r="C18" s="7"/>
      <c r="D18" s="7"/>
      <c r="E18" s="7"/>
      <c r="F18" s="7"/>
      <c r="G18" s="7"/>
      <c r="H18" s="7"/>
      <c r="I18" s="7"/>
      <c r="J18" s="6">
        <f t="shared" si="0"/>
        <v>0</v>
      </c>
      <c r="K18" s="7"/>
      <c r="L18" s="7"/>
      <c r="M18" s="7"/>
      <c r="N18" s="7"/>
      <c r="O18" s="7">
        <f>36121011/36121011*7/7*4000+89/89*5089.5</f>
        <v>9089.5</v>
      </c>
      <c r="P18" s="7"/>
      <c r="Q18" s="7"/>
      <c r="R18" s="7"/>
      <c r="S18" s="7"/>
      <c r="T18" s="7"/>
      <c r="U18" s="7"/>
      <c r="V18" s="7"/>
      <c r="W18" s="17">
        <f t="shared" si="1"/>
        <v>9089.5</v>
      </c>
      <c r="X18" s="10">
        <f t="shared" si="2"/>
        <v>-9089.5</v>
      </c>
    </row>
    <row r="19" spans="1:24" s="9" customFormat="1" ht="12.75">
      <c r="A19" s="5" t="s">
        <v>53</v>
      </c>
      <c r="B19" s="5"/>
      <c r="C19" s="7"/>
      <c r="D19" s="7"/>
      <c r="E19" s="7"/>
      <c r="F19" s="7"/>
      <c r="G19" s="7"/>
      <c r="H19" s="7"/>
      <c r="I19" s="7"/>
      <c r="J19" s="6">
        <f t="shared" si="0"/>
        <v>0</v>
      </c>
      <c r="K19" s="7"/>
      <c r="L19" s="7"/>
      <c r="M19" s="7"/>
      <c r="N19" s="7"/>
      <c r="O19" s="7">
        <f>36121013/36121013*6/6*4000+89/89*5089.5</f>
        <v>9089.5</v>
      </c>
      <c r="P19" s="7"/>
      <c r="Q19" s="7"/>
      <c r="R19" s="7"/>
      <c r="S19" s="7"/>
      <c r="T19" s="7"/>
      <c r="U19" s="7"/>
      <c r="V19" s="7"/>
      <c r="W19" s="17">
        <f t="shared" si="1"/>
        <v>9089.5</v>
      </c>
      <c r="X19" s="10">
        <f t="shared" si="2"/>
        <v>-9089.5</v>
      </c>
    </row>
    <row r="20" spans="1:24" s="9" customFormat="1" ht="12.75">
      <c r="A20" s="5" t="s">
        <v>48</v>
      </c>
      <c r="B20" s="5"/>
      <c r="C20" s="7"/>
      <c r="D20" s="7"/>
      <c r="E20" s="7"/>
      <c r="F20" s="7"/>
      <c r="G20" s="7"/>
      <c r="H20" s="7"/>
      <c r="I20" s="7"/>
      <c r="J20" s="6">
        <f t="shared" si="0"/>
        <v>0</v>
      </c>
      <c r="K20" s="7"/>
      <c r="L20" s="7"/>
      <c r="M20" s="7"/>
      <c r="N20" s="7"/>
      <c r="O20" s="7">
        <f>36121021/36121021*7/7*4000+89/89*5089.5</f>
        <v>9089.5</v>
      </c>
      <c r="P20" s="7"/>
      <c r="Q20" s="7"/>
      <c r="R20" s="7"/>
      <c r="S20" s="7"/>
      <c r="T20" s="7"/>
      <c r="U20" s="7"/>
      <c r="V20" s="7"/>
      <c r="W20" s="17">
        <f t="shared" si="1"/>
        <v>9089.5</v>
      </c>
      <c r="X20" s="10">
        <f t="shared" si="2"/>
        <v>-9089.5</v>
      </c>
    </row>
    <row r="21" spans="1:24" s="9" customFormat="1" ht="12.75">
      <c r="A21" s="5" t="s">
        <v>54</v>
      </c>
      <c r="B21" s="5"/>
      <c r="C21" s="7"/>
      <c r="D21" s="7"/>
      <c r="E21" s="7"/>
      <c r="F21" s="7"/>
      <c r="G21" s="7"/>
      <c r="H21" s="7"/>
      <c r="I21" s="7"/>
      <c r="J21" s="6">
        <f t="shared" si="0"/>
        <v>0</v>
      </c>
      <c r="K21" s="7"/>
      <c r="L21" s="7"/>
      <c r="M21" s="7"/>
      <c r="N21" s="7"/>
      <c r="O21" s="7">
        <f>36121022/36121022*7/7*4000+89/89*5089.5</f>
        <v>9089.5</v>
      </c>
      <c r="P21" s="7"/>
      <c r="Q21" s="7"/>
      <c r="R21" s="7"/>
      <c r="S21" s="7"/>
      <c r="T21" s="7"/>
      <c r="U21" s="7"/>
      <c r="V21" s="7"/>
      <c r="W21" s="17">
        <f t="shared" si="1"/>
        <v>9089.5</v>
      </c>
      <c r="X21" s="10">
        <f t="shared" si="2"/>
        <v>-9089.5</v>
      </c>
    </row>
    <row r="22" spans="1:24" s="9" customFormat="1" ht="12.75">
      <c r="A22" s="5" t="s">
        <v>42</v>
      </c>
      <c r="B22" s="5"/>
      <c r="C22" s="7"/>
      <c r="D22" s="7"/>
      <c r="E22" s="7"/>
      <c r="F22" s="7"/>
      <c r="G22" s="7"/>
      <c r="H22" s="7"/>
      <c r="I22" s="7"/>
      <c r="J22" s="6">
        <f t="shared" si="0"/>
        <v>0</v>
      </c>
      <c r="K22" s="7"/>
      <c r="L22" s="7"/>
      <c r="M22" s="7"/>
      <c r="N22" s="7"/>
      <c r="O22" s="7">
        <f>36121028/36121028*6/6*2000+89/89*2939.5</f>
        <v>4939.5</v>
      </c>
      <c r="P22" s="7"/>
      <c r="Q22" s="7"/>
      <c r="R22" s="7"/>
      <c r="S22" s="7"/>
      <c r="T22" s="7"/>
      <c r="U22" s="7"/>
      <c r="V22" s="7"/>
      <c r="W22" s="17">
        <f t="shared" si="1"/>
        <v>4939.5</v>
      </c>
      <c r="X22" s="10">
        <f t="shared" si="2"/>
        <v>-4939.5</v>
      </c>
    </row>
    <row r="23" spans="1:24" s="9" customFormat="1" ht="12.75">
      <c r="A23" s="5" t="s">
        <v>43</v>
      </c>
      <c r="B23" s="5"/>
      <c r="C23" s="7"/>
      <c r="D23" s="7"/>
      <c r="E23" s="7"/>
      <c r="F23" s="7"/>
      <c r="G23" s="7"/>
      <c r="H23" s="7"/>
      <c r="I23" s="7"/>
      <c r="J23" s="6">
        <f t="shared" si="0"/>
        <v>0</v>
      </c>
      <c r="K23" s="7"/>
      <c r="L23" s="7"/>
      <c r="M23" s="7"/>
      <c r="N23" s="7"/>
      <c r="O23" s="7">
        <f>36121029/36121029*6/6*2000+89/89*2939.5</f>
        <v>4939.5</v>
      </c>
      <c r="P23" s="7"/>
      <c r="Q23" s="7"/>
      <c r="R23" s="7"/>
      <c r="S23" s="7"/>
      <c r="T23" s="7"/>
      <c r="U23" s="7"/>
      <c r="V23" s="7"/>
      <c r="W23" s="17">
        <f t="shared" si="1"/>
        <v>4939.5</v>
      </c>
      <c r="X23" s="10">
        <f t="shared" si="2"/>
        <v>-4939.5</v>
      </c>
    </row>
    <row r="24" spans="1:24" s="9" customFormat="1" ht="12.75">
      <c r="A24" s="5" t="s">
        <v>44</v>
      </c>
      <c r="B24" s="5"/>
      <c r="C24" s="7"/>
      <c r="D24" s="7"/>
      <c r="E24" s="7"/>
      <c r="F24" s="7"/>
      <c r="G24" s="7"/>
      <c r="H24" s="7"/>
      <c r="I24" s="7"/>
      <c r="J24" s="6">
        <f t="shared" si="0"/>
        <v>0</v>
      </c>
      <c r="K24" s="7"/>
      <c r="L24" s="7"/>
      <c r="M24" s="7"/>
      <c r="N24" s="7"/>
      <c r="O24" s="7">
        <f>36121030/36121030*6/6*2000+89/89*2939.5</f>
        <v>4939.5</v>
      </c>
      <c r="P24" s="7"/>
      <c r="Q24" s="7"/>
      <c r="R24" s="7"/>
      <c r="S24" s="7"/>
      <c r="T24" s="7"/>
      <c r="U24" s="7"/>
      <c r="V24" s="7"/>
      <c r="W24" s="17">
        <f t="shared" si="1"/>
        <v>4939.5</v>
      </c>
      <c r="X24" s="10">
        <f t="shared" si="2"/>
        <v>-4939.5</v>
      </c>
    </row>
    <row r="25" spans="1:24" s="9" customFormat="1" ht="12.75">
      <c r="A25" s="5" t="s">
        <v>45</v>
      </c>
      <c r="B25" s="5"/>
      <c r="C25" s="7"/>
      <c r="D25" s="7"/>
      <c r="E25" s="7"/>
      <c r="F25" s="7"/>
      <c r="G25" s="7"/>
      <c r="H25" s="7"/>
      <c r="I25" s="7"/>
      <c r="J25" s="6">
        <f t="shared" si="0"/>
        <v>0</v>
      </c>
      <c r="K25" s="7"/>
      <c r="L25" s="7"/>
      <c r="M25" s="7"/>
      <c r="N25" s="7"/>
      <c r="O25" s="7">
        <f>36121031/36121031*6/6*2000+89/89*2939.5</f>
        <v>4939.5</v>
      </c>
      <c r="P25" s="7"/>
      <c r="Q25" s="7"/>
      <c r="R25" s="7"/>
      <c r="S25" s="7"/>
      <c r="T25" s="7"/>
      <c r="U25" s="7"/>
      <c r="V25" s="7"/>
      <c r="W25" s="17">
        <f t="shared" si="1"/>
        <v>4939.5</v>
      </c>
      <c r="X25" s="10">
        <f t="shared" si="2"/>
        <v>-4939.5</v>
      </c>
    </row>
    <row r="26" spans="1:24" s="9" customFormat="1" ht="12.75">
      <c r="A26" s="5" t="s">
        <v>49</v>
      </c>
      <c r="B26" s="5"/>
      <c r="C26" s="7"/>
      <c r="D26" s="7"/>
      <c r="E26" s="7"/>
      <c r="F26" s="7"/>
      <c r="G26" s="7"/>
      <c r="H26" s="7"/>
      <c r="I26" s="7"/>
      <c r="J26" s="6">
        <f t="shared" si="0"/>
        <v>0</v>
      </c>
      <c r="K26" s="7"/>
      <c r="L26" s="7"/>
      <c r="M26" s="7"/>
      <c r="N26" s="7"/>
      <c r="O26" s="7">
        <f>36121043/36121043*7/7*4000+89/89*5089</f>
        <v>9089</v>
      </c>
      <c r="P26" s="7"/>
      <c r="Q26" s="7"/>
      <c r="R26" s="7"/>
      <c r="S26" s="7"/>
      <c r="T26" s="7"/>
      <c r="U26" s="7"/>
      <c r="V26" s="7"/>
      <c r="W26" s="17">
        <f t="shared" si="1"/>
        <v>9089</v>
      </c>
      <c r="X26" s="10">
        <f t="shared" si="2"/>
        <v>-9089</v>
      </c>
    </row>
    <row r="27" spans="1:24" s="9" customFormat="1" ht="12.75" hidden="1">
      <c r="A27" s="5" t="s">
        <v>69</v>
      </c>
      <c r="B27" s="5"/>
      <c r="C27" s="7"/>
      <c r="D27" s="7">
        <f>5/5*179260*0*7/7</f>
        <v>0</v>
      </c>
      <c r="E27" s="7"/>
      <c r="F27" s="7"/>
      <c r="G27" s="7"/>
      <c r="H27" s="7"/>
      <c r="I27" s="7"/>
      <c r="J27" s="6">
        <f t="shared" si="0"/>
        <v>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7">
        <f t="shared" si="1"/>
        <v>0</v>
      </c>
      <c r="X27" s="10">
        <f t="shared" si="2"/>
        <v>0</v>
      </c>
    </row>
    <row r="28" spans="1:24" s="9" customFormat="1" ht="12.75">
      <c r="A28" s="27" t="s">
        <v>70</v>
      </c>
      <c r="B28" s="5"/>
      <c r="C28" s="7"/>
      <c r="D28" s="16">
        <f>-8453*0*7/7</f>
        <v>0</v>
      </c>
      <c r="E28" s="7"/>
      <c r="F28" s="7"/>
      <c r="G28" s="7"/>
      <c r="H28" s="7"/>
      <c r="I28" s="7"/>
      <c r="J28" s="17">
        <f t="shared" si="0"/>
        <v>0</v>
      </c>
      <c r="K28" s="7"/>
      <c r="L28" s="7"/>
      <c r="M28" s="7"/>
      <c r="N28" s="7">
        <f>7/7*511/511*33866</f>
        <v>33866</v>
      </c>
      <c r="O28" s="7"/>
      <c r="P28" s="7"/>
      <c r="Q28" s="7"/>
      <c r="R28" s="7"/>
      <c r="S28" s="7"/>
      <c r="T28" s="7"/>
      <c r="U28" s="7"/>
      <c r="V28" s="7"/>
      <c r="W28" s="6">
        <f t="shared" si="1"/>
        <v>33866</v>
      </c>
      <c r="X28" s="10">
        <f t="shared" si="2"/>
        <v>-33866</v>
      </c>
    </row>
    <row r="29" spans="1:24" s="9" customFormat="1" ht="12.75" hidden="1">
      <c r="A29" s="5" t="s">
        <v>71</v>
      </c>
      <c r="B29" s="5"/>
      <c r="C29" s="7"/>
      <c r="D29" s="7">
        <f>5/5*-2487.5*0*7/7</f>
        <v>0</v>
      </c>
      <c r="E29" s="7"/>
      <c r="F29" s="7"/>
      <c r="G29" s="7"/>
      <c r="H29" s="7"/>
      <c r="I29" s="7"/>
      <c r="J29" s="6">
        <f t="shared" si="0"/>
        <v>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7">
        <f t="shared" si="1"/>
        <v>0</v>
      </c>
      <c r="X29" s="10">
        <f t="shared" si="2"/>
        <v>0</v>
      </c>
    </row>
    <row r="30" spans="1:24" s="9" customFormat="1" ht="12.75">
      <c r="A30" s="5" t="s">
        <v>33</v>
      </c>
      <c r="B30" s="5"/>
      <c r="C30" s="7"/>
      <c r="D30" s="7"/>
      <c r="E30" s="7"/>
      <c r="F30" s="7"/>
      <c r="G30" s="7"/>
      <c r="H30" s="7"/>
      <c r="I30" s="7"/>
      <c r="J30" s="6">
        <f t="shared" si="0"/>
        <v>0</v>
      </c>
      <c r="K30" s="7"/>
      <c r="L30" s="7"/>
      <c r="M30" s="7"/>
      <c r="N30" s="7">
        <f>11/11*1900.85</f>
        <v>1900.85</v>
      </c>
      <c r="O30" s="7">
        <f>5/5*1900.85*0*11/11</f>
        <v>0</v>
      </c>
      <c r="P30" s="7"/>
      <c r="Q30" s="7"/>
      <c r="R30" s="7"/>
      <c r="S30" s="7"/>
      <c r="T30" s="7"/>
      <c r="U30" s="7"/>
      <c r="V30" s="7"/>
      <c r="W30" s="17">
        <f t="shared" si="1"/>
        <v>1900.85</v>
      </c>
      <c r="X30" s="10">
        <f t="shared" si="2"/>
        <v>-1900.85</v>
      </c>
    </row>
    <row r="31" spans="1:24" s="9" customFormat="1" ht="12.75">
      <c r="A31" s="5" t="s">
        <v>59</v>
      </c>
      <c r="B31" s="5"/>
      <c r="C31" s="7"/>
      <c r="D31" s="7"/>
      <c r="E31" s="7"/>
      <c r="F31" s="7"/>
      <c r="G31" s="7"/>
      <c r="H31" s="7"/>
      <c r="I31" s="7"/>
      <c r="J31" s="6">
        <f t="shared" si="0"/>
        <v>0</v>
      </c>
      <c r="K31" s="7"/>
      <c r="L31" s="7"/>
      <c r="M31" s="7"/>
      <c r="N31" s="7">
        <f>(511/511)*89/89*57528.58</f>
        <v>57528.58</v>
      </c>
      <c r="O31" s="7">
        <f>89/89*57528.58*11/11*511/511*0+10/10*350</f>
        <v>350</v>
      </c>
      <c r="P31" s="7"/>
      <c r="Q31" s="7"/>
      <c r="R31" s="7"/>
      <c r="S31" s="7"/>
      <c r="T31" s="7"/>
      <c r="U31" s="7"/>
      <c r="V31" s="7"/>
      <c r="W31" s="17">
        <f>SUM(K31:V31)</f>
        <v>57878.58</v>
      </c>
      <c r="X31" s="10">
        <f>J31-W31</f>
        <v>-57878.58</v>
      </c>
    </row>
    <row r="32" spans="1:24" s="9" customFormat="1" ht="12.75" hidden="1">
      <c r="A32" s="5" t="s">
        <v>72</v>
      </c>
      <c r="B32" s="5"/>
      <c r="C32" s="7"/>
      <c r="D32" s="7">
        <f>9/9*-4*0*10/10</f>
        <v>0</v>
      </c>
      <c r="E32" s="7"/>
      <c r="F32" s="7"/>
      <c r="G32" s="7"/>
      <c r="H32" s="7"/>
      <c r="I32" s="7"/>
      <c r="J32" s="6">
        <f t="shared" si="0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7">
        <f>SUM(K32:V32)</f>
        <v>0</v>
      </c>
      <c r="X32" s="10">
        <f>J32-W32</f>
        <v>0</v>
      </c>
    </row>
    <row r="33" spans="1:24" s="9" customFormat="1" ht="12.75">
      <c r="A33" s="5" t="s">
        <v>34</v>
      </c>
      <c r="B33" s="5"/>
      <c r="C33" s="7"/>
      <c r="D33" s="7"/>
      <c r="E33" s="7"/>
      <c r="F33" s="7"/>
      <c r="G33" s="7"/>
      <c r="H33" s="7"/>
      <c r="I33" s="7"/>
      <c r="J33" s="6">
        <f t="shared" si="0"/>
        <v>0</v>
      </c>
      <c r="K33" s="7"/>
      <c r="L33" s="7"/>
      <c r="M33" s="7"/>
      <c r="N33" s="7"/>
      <c r="O33" s="7">
        <f>6/6*2288</f>
        <v>2288</v>
      </c>
      <c r="P33" s="7"/>
      <c r="Q33" s="7"/>
      <c r="R33" s="7"/>
      <c r="S33" s="7"/>
      <c r="T33" s="7"/>
      <c r="U33" s="7"/>
      <c r="V33" s="7"/>
      <c r="W33" s="17">
        <f t="shared" si="1"/>
        <v>2288</v>
      </c>
      <c r="X33" s="10">
        <f t="shared" si="2"/>
        <v>-2288</v>
      </c>
    </row>
    <row r="34" spans="1:24" s="9" customFormat="1" ht="12.75">
      <c r="A34" s="5" t="s">
        <v>4</v>
      </c>
      <c r="B34" s="5"/>
      <c r="C34" s="7"/>
      <c r="D34" s="7">
        <f>100014.68*0+3/3*122120.18*0+4/4*171718.79*0+5/5*205294.94*0+6/6*233934.35*0+7/7*243507.74*0+9/9*288104.99*0+10/10*343146.27*0+11/11*393437.1*0+12/12*424882</f>
        <v>424882</v>
      </c>
      <c r="E34" s="7">
        <f>3/3*1394.5*0+6/6*2357.8*0+9/9*2834.86*0+12/12*4532.11</f>
        <v>4532.11</v>
      </c>
      <c r="F34" s="7"/>
      <c r="G34" s="7"/>
      <c r="H34" s="7"/>
      <c r="I34" s="7"/>
      <c r="J34" s="17">
        <f t="shared" si="0"/>
        <v>429414.11</v>
      </c>
      <c r="K34" s="7"/>
      <c r="L34" s="7"/>
      <c r="M34" s="7"/>
      <c r="N34" s="7">
        <f>11/11*(518/518*2400)</f>
        <v>2400</v>
      </c>
      <c r="O34" s="7">
        <f>50500.87*0+3/3*76875.07*0+4/4*93526.34*0+5/5*121741.75*0+6/6*140858*0+7/7*151113.2+89/89*17614.63+10/10*19795.45+11/11*((-511/511*2400)+20429.97)+12/12*17496.41</f>
        <v>224049.66000000003</v>
      </c>
      <c r="P34" s="7">
        <f>12/12*264719</f>
        <v>264719</v>
      </c>
      <c r="Q34" s="7">
        <f>12/12*92653</f>
        <v>92653</v>
      </c>
      <c r="R34" s="7"/>
      <c r="S34" s="7"/>
      <c r="T34" s="7"/>
      <c r="U34" s="7">
        <f>-0.75*0+3/3*-0.91*0+4/4*(-0.25-1.14)*0+7/7*-1.75+89/89*-0.11+10/10*0.13</f>
        <v>-1.73</v>
      </c>
      <c r="V34" s="7"/>
      <c r="W34" s="17">
        <f t="shared" si="1"/>
        <v>583819.93</v>
      </c>
      <c r="X34" s="10">
        <f t="shared" si="2"/>
        <v>-154405.82000000007</v>
      </c>
    </row>
    <row r="35" spans="1:24" s="9" customFormat="1" ht="12.75">
      <c r="A35" s="5" t="s">
        <v>7</v>
      </c>
      <c r="B35" s="5"/>
      <c r="C35" s="7"/>
      <c r="D35" s="7"/>
      <c r="E35" s="7">
        <f>3/3*1986.24*0+6/6*3619.27*0+9/9*5298.17*0+12/12*7266.06</f>
        <v>7266.06</v>
      </c>
      <c r="F35" s="7"/>
      <c r="G35" s="7"/>
      <c r="H35" s="7"/>
      <c r="I35" s="7"/>
      <c r="J35" s="17">
        <f t="shared" si="0"/>
        <v>7266.06</v>
      </c>
      <c r="K35" s="7"/>
      <c r="L35" s="7"/>
      <c r="M35" s="7"/>
      <c r="N35" s="7"/>
      <c r="O35" s="7">
        <f>1000+3/3*500+4/4*500+5/5*500+6/6*500+7/7*500+89/89*500+10/10*500+11/11*500+12/12*500</f>
        <v>5500</v>
      </c>
      <c r="P35" s="7"/>
      <c r="Q35" s="7"/>
      <c r="R35" s="7"/>
      <c r="S35" s="7"/>
      <c r="T35" s="7"/>
      <c r="U35" s="7"/>
      <c r="V35" s="7"/>
      <c r="W35" s="17">
        <f t="shared" si="1"/>
        <v>5500</v>
      </c>
      <c r="X35" s="10">
        <f t="shared" si="2"/>
        <v>1766.0600000000004</v>
      </c>
    </row>
    <row r="36" spans="1:24" s="9" customFormat="1" ht="12.75">
      <c r="A36" s="5" t="s">
        <v>3</v>
      </c>
      <c r="B36" s="5"/>
      <c r="C36" s="7"/>
      <c r="D36" s="7">
        <f>20479*0+3/3*20815.13*0+4/4*22335.3*0+5/5*22815.13*0+6/6*24818.49*0+7/7*29240.29*0+9/9*36570.54*0+10/10*39638.15*0+11/11*47648.15*0+12/12*80413.15</f>
        <v>80413.15</v>
      </c>
      <c r="E36" s="7">
        <f>12/12*3764.71</f>
        <v>3764.71</v>
      </c>
      <c r="F36" s="7"/>
      <c r="G36" s="7"/>
      <c r="H36" s="7">
        <f>10/10*0.4+11/11*0.05+12/12*-0.15</f>
        <v>0.30000000000000004</v>
      </c>
      <c r="I36" s="7"/>
      <c r="J36" s="17">
        <f aca="true" t="shared" si="3" ref="J36:J63">SUM(C36:I36)</f>
        <v>84178.16</v>
      </c>
      <c r="K36" s="7">
        <f>11/11*2590.73</f>
        <v>2590.73</v>
      </c>
      <c r="L36" s="7"/>
      <c r="M36" s="7"/>
      <c r="N36" s="7"/>
      <c r="O36" s="7">
        <f>10/10*400+11/11*1568.91</f>
        <v>1968.91</v>
      </c>
      <c r="P36" s="7">
        <f>12/12*99984</f>
        <v>99984</v>
      </c>
      <c r="Q36" s="7">
        <f>12/12*33636</f>
        <v>33636</v>
      </c>
      <c r="R36" s="7"/>
      <c r="S36" s="7"/>
      <c r="T36" s="7"/>
      <c r="U36" s="7"/>
      <c r="V36" s="7"/>
      <c r="W36" s="6">
        <f t="shared" si="1"/>
        <v>138179.64</v>
      </c>
      <c r="X36" s="10">
        <f t="shared" si="2"/>
        <v>-54001.48000000001</v>
      </c>
    </row>
    <row r="37" spans="1:24" s="9" customFormat="1" ht="12.75">
      <c r="A37" s="5" t="s">
        <v>26</v>
      </c>
      <c r="B37" s="5"/>
      <c r="C37" s="7"/>
      <c r="D37" s="7">
        <f>5784*0+3/3*7458*0+4/4*9240*0+5/5*17016*0+6/6*25386*0+7/7*28434*0+9/9*31452*0+10/10*33792*0+11/11*35838*0+12/12*39102</f>
        <v>39102</v>
      </c>
      <c r="E37" s="7"/>
      <c r="F37" s="7"/>
      <c r="G37" s="7"/>
      <c r="H37" s="7"/>
      <c r="I37" s="7"/>
      <c r="J37" s="17">
        <f t="shared" si="3"/>
        <v>39102</v>
      </c>
      <c r="K37" s="7"/>
      <c r="L37" s="7"/>
      <c r="M37" s="7"/>
      <c r="N37" s="7">
        <f>11/11*13974*0</f>
        <v>0</v>
      </c>
      <c r="O37" s="7"/>
      <c r="P37" s="7"/>
      <c r="Q37" s="7"/>
      <c r="R37" s="7"/>
      <c r="S37" s="7"/>
      <c r="T37" s="7"/>
      <c r="U37" s="7"/>
      <c r="V37" s="7"/>
      <c r="W37" s="6">
        <f t="shared" si="1"/>
        <v>0</v>
      </c>
      <c r="X37" s="10">
        <f t="shared" si="2"/>
        <v>39102</v>
      </c>
    </row>
    <row r="38" spans="1:24" s="9" customFormat="1" ht="21">
      <c r="A38" s="11" t="s">
        <v>73</v>
      </c>
      <c r="B38" s="5"/>
      <c r="C38" s="7"/>
      <c r="D38" s="7">
        <f>655735.52+3/3*217977.48+4/4*194243.48+5/5*242465.76+6/6*219131.93+7/7*(219131.93+89/89*(291481.9+1517/1517*83193.27)+10/10*147732.73+11/11*238142+12/12*238654+2007/2007*(677293.77*0+9/9*698472))</f>
        <v>3446362</v>
      </c>
      <c r="E38" s="7"/>
      <c r="F38" s="7"/>
      <c r="G38" s="7"/>
      <c r="H38" s="7"/>
      <c r="I38" s="7"/>
      <c r="J38" s="17">
        <f t="shared" si="3"/>
        <v>3446362</v>
      </c>
      <c r="K38" s="7"/>
      <c r="L38" s="7"/>
      <c r="M38" s="7"/>
      <c r="N38" s="7">
        <f>12/12*13974</f>
        <v>13974</v>
      </c>
      <c r="O38" s="7">
        <f>89/89*1517/1517*(574.35*0+11/11*2204.21+12/12*538.78)</f>
        <v>2742.99</v>
      </c>
      <c r="P38" s="7"/>
      <c r="Q38" s="7"/>
      <c r="R38" s="7"/>
      <c r="S38" s="7"/>
      <c r="T38" s="7"/>
      <c r="U38" s="7"/>
      <c r="V38" s="7"/>
      <c r="W38" s="6">
        <f t="shared" si="1"/>
        <v>16716.989999999998</v>
      </c>
      <c r="X38" s="10">
        <f t="shared" si="2"/>
        <v>3429645.01</v>
      </c>
    </row>
    <row r="39" spans="1:24" s="9" customFormat="1" ht="12.75">
      <c r="A39" s="5" t="s">
        <v>24</v>
      </c>
      <c r="B39" s="5"/>
      <c r="C39" s="7"/>
      <c r="D39" s="7">
        <f>3/3*3781.51*0+6/6*16974.78+7/7*23941.18+89/89*35764.71+10/10*6302.52</f>
        <v>82983.19</v>
      </c>
      <c r="E39" s="7"/>
      <c r="F39" s="7"/>
      <c r="G39" s="7"/>
      <c r="H39" s="7"/>
      <c r="I39" s="7"/>
      <c r="J39" s="17">
        <f t="shared" si="3"/>
        <v>82983.19</v>
      </c>
      <c r="K39" s="7">
        <f>4/4*409.5+89/89*922.44+10/10*131.35+11/11*498.33</f>
        <v>1961.62</v>
      </c>
      <c r="L39" s="16">
        <f>10462.19+5/5*10462.19+89/89*10462.11+10/10*8537.65+11/11*12932.77</f>
        <v>52856.91</v>
      </c>
      <c r="M39" s="16">
        <f>7/7*1348+89/89*504.1+11/11*419.33+12/12*2000</f>
        <v>4271.43</v>
      </c>
      <c r="N39" s="7"/>
      <c r="O39" s="16">
        <f>462.28*0+4/4*869.78+7/7*2000+89/89*1757.1+10/10*898.7+11/11*772.5+12/12*-65188.1</f>
        <v>-58890.02</v>
      </c>
      <c r="P39" s="7">
        <f>12/12*67672</f>
        <v>67672</v>
      </c>
      <c r="Q39" s="7">
        <f>12/12*24318</f>
        <v>24318</v>
      </c>
      <c r="R39" s="7">
        <f>7/7*532/532*836</f>
        <v>836</v>
      </c>
      <c r="S39" s="7"/>
      <c r="T39" s="7"/>
      <c r="U39" s="16">
        <f>-0.12*0+4/4*-0.35+89/89*1.37+10/10*-0.99+11/11*0.22</f>
        <v>0.25</v>
      </c>
      <c r="V39" s="7"/>
      <c r="W39" s="17">
        <f t="shared" si="1"/>
        <v>93026.19</v>
      </c>
      <c r="X39" s="10">
        <f t="shared" si="2"/>
        <v>-10043</v>
      </c>
    </row>
    <row r="40" spans="1:24" s="9" customFormat="1" ht="12.75">
      <c r="A40" s="5" t="s">
        <v>27</v>
      </c>
      <c r="B40" s="5"/>
      <c r="C40" s="7"/>
      <c r="D40" s="7"/>
      <c r="E40" s="7"/>
      <c r="F40" s="7"/>
      <c r="G40" s="7"/>
      <c r="H40" s="7"/>
      <c r="I40" s="7"/>
      <c r="J40" s="6">
        <f t="shared" si="3"/>
        <v>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f>1036.5*0+3/3*4245.5*0+4/4*4867.5*0+5/5*5481*0+6/6*8234.5*0+7/7*8774+89/89*2865+10/10*546.5+11/11*591.5+12/12*2621.5</f>
        <v>15398.5</v>
      </c>
      <c r="V40" s="7"/>
      <c r="W40" s="17">
        <f t="shared" si="1"/>
        <v>15398.5</v>
      </c>
      <c r="X40" s="10">
        <f t="shared" si="2"/>
        <v>-15398.5</v>
      </c>
    </row>
    <row r="41" spans="1:24" s="9" customFormat="1" ht="12.75">
      <c r="A41" s="5" t="s">
        <v>57</v>
      </c>
      <c r="B41" s="5"/>
      <c r="C41" s="7"/>
      <c r="D41" s="7">
        <f>12/12*2100.75</f>
        <v>2100.75</v>
      </c>
      <c r="E41" s="7"/>
      <c r="F41" s="7"/>
      <c r="G41" s="7"/>
      <c r="H41" s="7">
        <f>(7018+0.78)+3/3*3343.28+4/4*4438.24+5/5*5500+6/6*6181.51+7/7*3270.17+89/89*7297.89+10/10*3114.29+11/11*3022.69+12/12*2631.93</f>
        <v>45818.78</v>
      </c>
      <c r="I41" s="7"/>
      <c r="J41" s="17">
        <f t="shared" si="3"/>
        <v>47919.53</v>
      </c>
      <c r="K41" s="7"/>
      <c r="L41" s="7"/>
      <c r="M41" s="7"/>
      <c r="N41" s="7"/>
      <c r="O41" s="7">
        <f>4/4*268.07*0+11/11*4768.07</f>
        <v>4768.07</v>
      </c>
      <c r="P41" s="7">
        <f>12/12*822904*0</f>
        <v>0</v>
      </c>
      <c r="Q41" s="7">
        <f>12/12*288021*0</f>
        <v>0</v>
      </c>
      <c r="R41" s="7"/>
      <c r="S41" s="7"/>
      <c r="T41" s="7"/>
      <c r="U41" s="7">
        <f>542/542*556+549/549*-16778.04</f>
        <v>-16222.04</v>
      </c>
      <c r="V41" s="7"/>
      <c r="W41" s="6">
        <f t="shared" si="1"/>
        <v>-11453.970000000001</v>
      </c>
      <c r="X41" s="10">
        <f t="shared" si="2"/>
        <v>59373.5</v>
      </c>
    </row>
    <row r="42" spans="1:24" s="9" customFormat="1" ht="12.75" hidden="1">
      <c r="A42" s="5" t="s">
        <v>74</v>
      </c>
      <c r="B42" s="5"/>
      <c r="C42" s="7"/>
      <c r="D42" s="7">
        <f>7/7*240*0*7/7</f>
        <v>0</v>
      </c>
      <c r="E42" s="7"/>
      <c r="F42" s="7"/>
      <c r="G42" s="7"/>
      <c r="H42" s="7"/>
      <c r="I42" s="7"/>
      <c r="J42" s="17">
        <f t="shared" si="3"/>
        <v>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6">
        <f aca="true" t="shared" si="4" ref="W42:W65">SUM(K42:V42)</f>
        <v>0</v>
      </c>
      <c r="X42" s="10">
        <f aca="true" t="shared" si="5" ref="X42:X65">J42-W42</f>
        <v>0</v>
      </c>
    </row>
    <row r="43" spans="1:24" s="9" customFormat="1" ht="21" hidden="1">
      <c r="A43" s="11" t="s">
        <v>75</v>
      </c>
      <c r="B43" s="5">
        <f>96/96*(319.33+240+4160+4185)</f>
        <v>8904.33</v>
      </c>
      <c r="C43" s="7"/>
      <c r="D43" s="7">
        <f>(36628+3/3*18314+4/4*18314+5/5*18314+6/6*18314+7/7*18314)*0*7/7</f>
        <v>0</v>
      </c>
      <c r="E43" s="7"/>
      <c r="F43" s="7"/>
      <c r="G43" s="7"/>
      <c r="H43" s="7"/>
      <c r="I43" s="7"/>
      <c r="J43" s="17">
        <f t="shared" si="3"/>
        <v>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6">
        <f t="shared" si="4"/>
        <v>0</v>
      </c>
      <c r="X43" s="10">
        <f t="shared" si="5"/>
        <v>0</v>
      </c>
    </row>
    <row r="44" spans="1:24" s="9" customFormat="1" ht="12.75">
      <c r="A44" s="11" t="s">
        <v>63</v>
      </c>
      <c r="B44" s="5"/>
      <c r="C44" s="7"/>
      <c r="D44" s="7"/>
      <c r="E44" s="7"/>
      <c r="F44" s="7"/>
      <c r="G44" s="7"/>
      <c r="H44" s="7"/>
      <c r="I44" s="7"/>
      <c r="J44" s="17">
        <f t="shared" si="3"/>
        <v>0</v>
      </c>
      <c r="K44" s="7"/>
      <c r="L44" s="7"/>
      <c r="M44" s="7"/>
      <c r="N44" s="7">
        <f>(10/10*9600)*11/11-518/518*400+12/12*109839.51</f>
        <v>119039.51</v>
      </c>
      <c r="O44" s="7">
        <f>10/10*9600-11/11*511/511*9200</f>
        <v>400</v>
      </c>
      <c r="P44" s="7"/>
      <c r="Q44" s="7"/>
      <c r="R44" s="7"/>
      <c r="S44" s="7"/>
      <c r="T44" s="7"/>
      <c r="U44" s="7"/>
      <c r="V44" s="7"/>
      <c r="W44" s="6">
        <f t="shared" si="4"/>
        <v>119439.51</v>
      </c>
      <c r="X44" s="10">
        <f t="shared" si="5"/>
        <v>-119439.51</v>
      </c>
    </row>
    <row r="45" spans="1:24" s="9" customFormat="1" ht="12.75">
      <c r="A45" s="5" t="s">
        <v>76</v>
      </c>
      <c r="B45" s="5">
        <f>97/97*(3690+302.52+285.71+302.52*3+336.13+285.71+302.52*4+319.33*2+302.52*2+319.33+302.52+285.71+319.33+285.71+302.52+336.13+352.94+319.33+302.52*3+285.71+302.52+319.33+302.52+319.33*2+302.52+285.71+302.52+319.33*2+302.52*3+319.33+336.13+319.33*3+302.52+319.33*5+302.52+319.33*2+302.52+319.33+302.52*2+319.33+302.52+319.33+302.52+319.33*3+302.52+319.33*4+302.52*3+369.75+336.13*5+403.36+336.13*2+302.52+880+150+1035+910+775+1275+910+426+1080+1250+2864+608+600+915+1125+1820+820+369.75*4)</f>
        <v>48998.52000000002</v>
      </c>
      <c r="C45" s="7"/>
      <c r="D45" s="7" t="s">
        <v>1</v>
      </c>
      <c r="E45" s="7"/>
      <c r="F45" s="7"/>
      <c r="G45" s="7"/>
      <c r="H45" s="16">
        <v>76281.08</v>
      </c>
      <c r="I45" s="7"/>
      <c r="J45" s="17">
        <f>SUM(C45:I45)</f>
        <v>76281.08</v>
      </c>
      <c r="K45" s="16">
        <v>1160.5</v>
      </c>
      <c r="L45" s="7"/>
      <c r="M45" s="7"/>
      <c r="N45" s="7"/>
      <c r="O45" s="16">
        <v>21379</v>
      </c>
      <c r="P45" s="7"/>
      <c r="Q45" s="7"/>
      <c r="R45" s="7"/>
      <c r="S45" s="7"/>
      <c r="T45" s="7"/>
      <c r="U45" s="16">
        <v>-0.46</v>
      </c>
      <c r="V45" s="7"/>
      <c r="W45" s="17">
        <f t="shared" si="4"/>
        <v>22539.04</v>
      </c>
      <c r="X45" s="10">
        <f t="shared" si="5"/>
        <v>53742.04</v>
      </c>
    </row>
    <row r="46" spans="1:24" s="9" customFormat="1" ht="12.75">
      <c r="A46" s="5" t="s">
        <v>77</v>
      </c>
      <c r="B46" s="5">
        <f>1998/1998*(630.25+145585+1040+252.1+550+530+570+480+980+570+1320+1430*2+235.29*2+201.68+285.71*2+336.13+302.52+60+336.13+470.59+252.1+369.75+352.94+436.97+352.94+436.97*2+588.24+352.94+302.52+352.94+268.91+252.1+268.91*2+120+80+100*3+268.91+235.29+134.45+268.91+235.29+2016.81)</f>
        <v>167070.17000000004</v>
      </c>
      <c r="C46" s="7" t="s">
        <v>1</v>
      </c>
      <c r="D46" s="7">
        <f>17951.32*0+3/3*26773.17</f>
        <v>26773.17</v>
      </c>
      <c r="E46" s="7"/>
      <c r="F46" s="7"/>
      <c r="G46" s="7"/>
      <c r="H46" s="7"/>
      <c r="I46" s="7"/>
      <c r="J46" s="17">
        <f t="shared" si="3"/>
        <v>26773.17</v>
      </c>
      <c r="K46" s="7"/>
      <c r="L46" s="7"/>
      <c r="M46" s="7"/>
      <c r="N46" s="7"/>
      <c r="O46" s="7">
        <f>21069.4*0+3/3*47608.36</f>
        <v>47608.36</v>
      </c>
      <c r="P46" s="7">
        <f>12/12*15001</f>
        <v>15001</v>
      </c>
      <c r="Q46" s="7">
        <f>12/12*5250</f>
        <v>5250</v>
      </c>
      <c r="R46" s="7"/>
      <c r="S46" s="7"/>
      <c r="T46" s="7"/>
      <c r="U46" s="7"/>
      <c r="V46" s="7"/>
      <c r="W46" s="17">
        <f t="shared" si="4"/>
        <v>67859.36</v>
      </c>
      <c r="X46" s="10">
        <f t="shared" si="5"/>
        <v>-41086.19</v>
      </c>
    </row>
    <row r="47" spans="1:24" s="9" customFormat="1" ht="12.75" hidden="1">
      <c r="A47" s="5">
        <v>431222</v>
      </c>
      <c r="B47" s="5"/>
      <c r="C47" s="7"/>
      <c r="D47" s="7"/>
      <c r="E47" s="7"/>
      <c r="F47" s="7"/>
      <c r="G47" s="7"/>
      <c r="H47" s="7"/>
      <c r="I47" s="7"/>
      <c r="J47" s="6">
        <f t="shared" si="3"/>
        <v>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6">
        <f t="shared" si="4"/>
        <v>0</v>
      </c>
      <c r="X47" s="10">
        <f t="shared" si="5"/>
        <v>0</v>
      </c>
    </row>
    <row r="48" spans="1:24" s="9" customFormat="1" ht="12.75">
      <c r="A48" s="5" t="s">
        <v>30</v>
      </c>
      <c r="B48" s="5"/>
      <c r="C48" s="7"/>
      <c r="D48" s="7">
        <f>3/3*529.41+5/5*1336.14+6/6*857.14+7/7*945.38+89/89*1550.42+10/10*151.26+11/11*1184.87+12/12*819.33</f>
        <v>7373.95</v>
      </c>
      <c r="E48" s="7"/>
      <c r="F48" s="7"/>
      <c r="G48" s="7"/>
      <c r="H48" s="7"/>
      <c r="I48" s="7"/>
      <c r="J48" s="17">
        <f t="shared" si="3"/>
        <v>7373.95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6">
        <f t="shared" si="4"/>
        <v>0</v>
      </c>
      <c r="X48" s="10">
        <f t="shared" si="5"/>
        <v>7373.95</v>
      </c>
    </row>
    <row r="49" spans="1:24" s="9" customFormat="1" ht="12.75">
      <c r="A49" s="5" t="s">
        <v>2</v>
      </c>
      <c r="B49" s="5">
        <f>1998/1998*(268.91*2+235.29+134.45)</f>
        <v>907.56</v>
      </c>
      <c r="C49" s="7" t="s">
        <v>1</v>
      </c>
      <c r="D49" s="7">
        <f>(5336+0.04)*0+7470.49*0+4/4*9188.98+5/5*2193.28+6/6*1806.72+7/7*1848.74+89/89*3084.02+10/10*1831.93+11/11*1605.04+12/12*1277.31</f>
        <v>22836.02</v>
      </c>
      <c r="E49" s="7"/>
      <c r="F49" s="7"/>
      <c r="G49" s="7"/>
      <c r="H49" s="7"/>
      <c r="I49" s="7"/>
      <c r="J49" s="17">
        <f>SUM(C49:I49)</f>
        <v>22836.02</v>
      </c>
      <c r="K49" s="7">
        <f>151.21*0+3/3*229.31*0+4/4*395.51*0+5/5*483.71*0+6/6*576.11*0+7/7*668.51*0+89/89*839.9+11/11*96.6+12/12*193.23</f>
        <v>1129.73</v>
      </c>
      <c r="L49" s="7"/>
      <c r="M49" s="7"/>
      <c r="N49" s="7"/>
      <c r="O49" s="7"/>
      <c r="P49" s="7">
        <f>12/12*33600</f>
        <v>33600</v>
      </c>
      <c r="Q49" s="7">
        <f>12/12*11760</f>
        <v>11760</v>
      </c>
      <c r="R49" s="7"/>
      <c r="S49" s="7"/>
      <c r="T49" s="7"/>
      <c r="U49" s="7">
        <f>12/12*0.2</f>
        <v>0.2</v>
      </c>
      <c r="V49" s="7"/>
      <c r="W49" s="17">
        <f t="shared" si="4"/>
        <v>46489.93</v>
      </c>
      <c r="X49" s="10">
        <f t="shared" si="5"/>
        <v>-23653.91</v>
      </c>
    </row>
    <row r="50" spans="1:24" s="9" customFormat="1" ht="12.75">
      <c r="A50" s="5" t="s">
        <v>55</v>
      </c>
      <c r="B50" s="5">
        <f>1999/1999*(201.68+235.29+1220+336.13)</f>
        <v>1993.1</v>
      </c>
      <c r="C50" s="7"/>
      <c r="D50" s="7" t="s">
        <v>1</v>
      </c>
      <c r="E50" s="16">
        <f>840.34+5/5*840.34+6/6*25.21+840.34</f>
        <v>2546.23</v>
      </c>
      <c r="F50" s="7"/>
      <c r="G50" s="7"/>
      <c r="H50" s="7"/>
      <c r="I50" s="7"/>
      <c r="J50" s="17">
        <f>SUM(C50:I50)</f>
        <v>2546.23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6">
        <f t="shared" si="4"/>
        <v>0</v>
      </c>
      <c r="X50" s="10">
        <f t="shared" si="5"/>
        <v>2546.23</v>
      </c>
    </row>
    <row r="51" spans="1:24" s="9" customFormat="1" ht="12.75">
      <c r="A51" s="5" t="s">
        <v>78</v>
      </c>
      <c r="B51" s="5">
        <f>1999/1999*(201.68+235.29+1220+336.13)</f>
        <v>1993.1</v>
      </c>
      <c r="C51" s="7"/>
      <c r="D51" s="7">
        <f>4/4*62045.55+7/7*48180.6+11/11*50701.5</f>
        <v>160927.65</v>
      </c>
      <c r="E51" s="7"/>
      <c r="F51" s="7"/>
      <c r="G51" s="7"/>
      <c r="H51" s="7"/>
      <c r="I51" s="7"/>
      <c r="J51" s="6">
        <f t="shared" si="3"/>
        <v>160927.65</v>
      </c>
      <c r="K51" s="7"/>
      <c r="L51" s="7"/>
      <c r="M51" s="7"/>
      <c r="N51" s="7">
        <f>7/7*61715/61715*23364</f>
        <v>23364</v>
      </c>
      <c r="O51" s="7"/>
      <c r="P51" s="7"/>
      <c r="Q51" s="7"/>
      <c r="R51" s="7"/>
      <c r="S51" s="7"/>
      <c r="T51" s="7"/>
      <c r="U51" s="7"/>
      <c r="V51" s="7"/>
      <c r="W51" s="6">
        <f t="shared" si="4"/>
        <v>23364</v>
      </c>
      <c r="X51" s="10">
        <f t="shared" si="5"/>
        <v>137563.65</v>
      </c>
    </row>
    <row r="52" spans="1:24" s="9" customFormat="1" ht="12.75">
      <c r="A52" s="5" t="s">
        <v>56</v>
      </c>
      <c r="B52" s="5" t="s">
        <v>23</v>
      </c>
      <c r="C52" s="7"/>
      <c r="D52" s="7">
        <f>(6/6)*3/3*210.08</f>
        <v>210.08</v>
      </c>
      <c r="E52" s="7"/>
      <c r="F52" s="7"/>
      <c r="G52" s="7"/>
      <c r="H52" s="7"/>
      <c r="I52" s="7"/>
      <c r="J52" s="17">
        <f>SUM(C52:I52)</f>
        <v>210.08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6">
        <f t="shared" si="4"/>
        <v>0</v>
      </c>
      <c r="X52" s="10">
        <f t="shared" si="5"/>
        <v>210.08</v>
      </c>
    </row>
    <row r="53" spans="1:24" s="9" customFormat="1" ht="12.75" hidden="1">
      <c r="A53" s="5" t="s">
        <v>61</v>
      </c>
      <c r="B53" s="5"/>
      <c r="C53" s="7"/>
      <c r="D53" s="7"/>
      <c r="E53" s="7"/>
      <c r="F53" s="7"/>
      <c r="G53" s="7"/>
      <c r="H53" s="7"/>
      <c r="I53" s="7"/>
      <c r="J53" s="17"/>
      <c r="K53" s="7">
        <f>89/89*1500*0*9/9</f>
        <v>0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6">
        <f>SUM(K53:V53)</f>
        <v>0</v>
      </c>
      <c r="X53" s="10">
        <f>J53-W53</f>
        <v>0</v>
      </c>
    </row>
    <row r="54" spans="1:24" s="9" customFormat="1" ht="12.75">
      <c r="A54" s="5" t="s">
        <v>79</v>
      </c>
      <c r="B54" s="5"/>
      <c r="C54" s="7"/>
      <c r="D54" s="7"/>
      <c r="E54" s="7"/>
      <c r="F54" s="7"/>
      <c r="G54" s="7"/>
      <c r="H54" s="7"/>
      <c r="I54" s="7">
        <f>5/5*4877.31+(89/890*1428.57-(5020.17*0-4877.31*0))*0+89/89*142.857+10/10*683.19+73808/73808*10/10*1428.57</f>
        <v>7131.927</v>
      </c>
      <c r="J54" s="17">
        <f>SUM(C54:I54)</f>
        <v>7131.927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6">
        <f t="shared" si="4"/>
        <v>0</v>
      </c>
      <c r="X54" s="10">
        <f t="shared" si="5"/>
        <v>7131.927</v>
      </c>
    </row>
    <row r="55" spans="1:24" s="9" customFormat="1" ht="32.25" hidden="1">
      <c r="A55" s="28" t="s">
        <v>80</v>
      </c>
      <c r="B55" s="5">
        <f>1999/1999*(319.33+3139+3400+319.33+12500+15000+302.52*2+403.36+8428)</f>
        <v>44114.060000000005</v>
      </c>
      <c r="C55" s="7"/>
      <c r="D55" s="7">
        <f>4/4*319.33*0*7/7</f>
        <v>0</v>
      </c>
      <c r="E55" s="7"/>
      <c r="F55" s="7"/>
      <c r="G55" s="7"/>
      <c r="H55" s="7"/>
      <c r="I55" s="7"/>
      <c r="J55" s="6">
        <f t="shared" si="3"/>
        <v>0</v>
      </c>
      <c r="K55" s="7"/>
      <c r="L55" s="7"/>
      <c r="M55" s="7"/>
      <c r="N55" s="7"/>
      <c r="O55" s="16">
        <f>1500*0*7/7</f>
        <v>0</v>
      </c>
      <c r="P55" s="7"/>
      <c r="Q55" s="7"/>
      <c r="R55" s="7"/>
      <c r="S55" s="7"/>
      <c r="T55" s="7"/>
      <c r="U55" s="7"/>
      <c r="V55" s="7"/>
      <c r="W55" s="17">
        <f t="shared" si="4"/>
        <v>0</v>
      </c>
      <c r="X55" s="10">
        <f t="shared" si="5"/>
        <v>0</v>
      </c>
    </row>
    <row r="56" spans="1:24" s="9" customFormat="1" ht="21" hidden="1">
      <c r="A56" s="11" t="s">
        <v>81</v>
      </c>
      <c r="B56" s="5"/>
      <c r="C56" s="7"/>
      <c r="D56" s="7"/>
      <c r="E56" s="7"/>
      <c r="F56" s="7"/>
      <c r="G56" s="7"/>
      <c r="H56" s="7"/>
      <c r="I56" s="7"/>
      <c r="J56" s="6">
        <f t="shared" si="3"/>
        <v>0</v>
      </c>
      <c r="K56" s="7"/>
      <c r="L56" s="7"/>
      <c r="M56" s="7"/>
      <c r="N56" s="7"/>
      <c r="O56" s="16">
        <f>7/7*22*0*7/7</f>
        <v>0</v>
      </c>
      <c r="P56" s="7"/>
      <c r="Q56" s="7"/>
      <c r="R56" s="7"/>
      <c r="S56" s="7"/>
      <c r="T56" s="7"/>
      <c r="U56" s="7"/>
      <c r="V56" s="7"/>
      <c r="W56" s="17">
        <f t="shared" si="4"/>
        <v>0</v>
      </c>
      <c r="X56" s="10">
        <f t="shared" si="5"/>
        <v>0</v>
      </c>
    </row>
    <row r="57" spans="1:24" s="9" customFormat="1" ht="12.75">
      <c r="A57" s="5" t="s">
        <v>8</v>
      </c>
      <c r="B57" s="5">
        <f>2000/2000*(764.71+500+120549.5+885+504.2+5030+1210+80556+319.33+100)</f>
        <v>210418.74</v>
      </c>
      <c r="C57" s="7"/>
      <c r="D57" s="16">
        <f>40157.25+4/4*(40157.25+0.25)+7/7*40157.25+10/10*42406.25</f>
        <v>162878.25</v>
      </c>
      <c r="E57" s="7"/>
      <c r="F57" s="7"/>
      <c r="G57" s="7"/>
      <c r="H57" s="7"/>
      <c r="I57" s="7"/>
      <c r="J57" s="17">
        <f>SUM(C57:I57)</f>
        <v>162878.25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6">
        <f t="shared" si="4"/>
        <v>0</v>
      </c>
      <c r="X57" s="10">
        <f t="shared" si="5"/>
        <v>162878.25</v>
      </c>
    </row>
    <row r="58" spans="1:24" s="9" customFormat="1" ht="21">
      <c r="A58" s="11" t="s">
        <v>25</v>
      </c>
      <c r="B58" s="5">
        <f>2002/2002*(88093+302.52+51150+319.33+25758+369.75+336.13+850+302.52)</f>
        <v>167481.25</v>
      </c>
      <c r="C58" s="7"/>
      <c r="D58" s="7">
        <f>16193.28*0+3/3*25731.1+4/4*11915.97+5/5*10259.66+6/6*12181.51+7/7*6661.34+89/89*16536.13+10/10*9878.15+11/11*10146.22+12/12*10198.32</f>
        <v>113508.4</v>
      </c>
      <c r="E58" s="7"/>
      <c r="F58" s="7"/>
      <c r="G58" s="7"/>
      <c r="H58" s="7"/>
      <c r="I58" s="7"/>
      <c r="J58" s="17">
        <f>SUM(C58:I58)</f>
        <v>113508.4</v>
      </c>
      <c r="K58" s="7"/>
      <c r="L58" s="7"/>
      <c r="M58" s="7"/>
      <c r="N58" s="7"/>
      <c r="O58" s="16">
        <f>3080+4/4*10600+11/11*6150</f>
        <v>19830</v>
      </c>
      <c r="P58" s="7"/>
      <c r="Q58" s="7"/>
      <c r="R58" s="7"/>
      <c r="S58" s="7"/>
      <c r="T58" s="7"/>
      <c r="U58" s="7"/>
      <c r="V58" s="7"/>
      <c r="W58" s="17">
        <f t="shared" si="4"/>
        <v>19830</v>
      </c>
      <c r="X58" s="10">
        <f t="shared" si="5"/>
        <v>93678.4</v>
      </c>
    </row>
    <row r="59" spans="1:24" s="9" customFormat="1" ht="21" hidden="1">
      <c r="A59" s="11" t="s">
        <v>82</v>
      </c>
      <c r="B59" s="5">
        <f>2003/2003*(35241+500+319.33*2+336.13+1000+1690+4200+420.17+352.94+1250)</f>
        <v>45628.9</v>
      </c>
      <c r="C59" s="21"/>
      <c r="D59" s="21"/>
      <c r="E59" s="21"/>
      <c r="F59" s="21"/>
      <c r="G59" s="21"/>
      <c r="H59" s="21"/>
      <c r="I59" s="21"/>
      <c r="J59" s="6">
        <f t="shared" si="3"/>
        <v>0</v>
      </c>
      <c r="K59" s="7"/>
      <c r="L59" s="7"/>
      <c r="M59" s="7"/>
      <c r="N59" s="7"/>
      <c r="O59" s="16">
        <f>100*0*7/7</f>
        <v>0</v>
      </c>
      <c r="P59" s="7"/>
      <c r="Q59" s="7"/>
      <c r="R59" s="7"/>
      <c r="S59" s="7"/>
      <c r="T59" s="7"/>
      <c r="U59" s="7"/>
      <c r="V59" s="7"/>
      <c r="W59" s="17">
        <f t="shared" si="4"/>
        <v>0</v>
      </c>
      <c r="X59" s="10">
        <f t="shared" si="5"/>
        <v>0</v>
      </c>
    </row>
    <row r="60" spans="1:24" s="9" customFormat="1" ht="12.75" hidden="1">
      <c r="A60" s="11" t="s">
        <v>60</v>
      </c>
      <c r="B60" s="5"/>
      <c r="C60" s="21"/>
      <c r="D60" s="21"/>
      <c r="E60" s="21"/>
      <c r="F60" s="21"/>
      <c r="G60" s="21"/>
      <c r="H60" s="21"/>
      <c r="I60" s="21"/>
      <c r="J60" s="6"/>
      <c r="K60" s="7">
        <f>89/89*2550*0*9/9</f>
        <v>0</v>
      </c>
      <c r="L60" s="7"/>
      <c r="M60" s="7"/>
      <c r="N60" s="7"/>
      <c r="O60" s="16"/>
      <c r="P60" s="7"/>
      <c r="Q60" s="7"/>
      <c r="R60" s="7"/>
      <c r="S60" s="7"/>
      <c r="T60" s="7"/>
      <c r="U60" s="7"/>
      <c r="V60" s="7"/>
      <c r="W60" s="17">
        <f t="shared" si="4"/>
        <v>0</v>
      </c>
      <c r="X60" s="10"/>
    </row>
    <row r="61" spans="1:24" s="9" customFormat="1" ht="12.75">
      <c r="A61" s="27" t="s">
        <v>47</v>
      </c>
      <c r="B61" s="5"/>
      <c r="C61" s="21"/>
      <c r="D61" s="7">
        <f>7/7*1500000</f>
        <v>1500000</v>
      </c>
      <c r="E61" s="21"/>
      <c r="F61" s="21"/>
      <c r="G61" s="21"/>
      <c r="H61" s="21"/>
      <c r="I61" s="21"/>
      <c r="J61" s="17">
        <f>SUM(C61:I61)</f>
        <v>1500000</v>
      </c>
      <c r="K61" s="7"/>
      <c r="L61" s="7"/>
      <c r="M61" s="7"/>
      <c r="N61" s="7"/>
      <c r="O61" s="16"/>
      <c r="P61" s="7"/>
      <c r="Q61" s="7"/>
      <c r="R61" s="7"/>
      <c r="S61" s="7"/>
      <c r="T61" s="7"/>
      <c r="U61" s="7"/>
      <c r="V61" s="7"/>
      <c r="W61" s="17">
        <f t="shared" si="4"/>
        <v>0</v>
      </c>
      <c r="X61" s="10">
        <f t="shared" si="5"/>
        <v>1500000</v>
      </c>
    </row>
    <row r="62" spans="1:24" s="9" customFormat="1" ht="22.5">
      <c r="A62" s="11" t="s">
        <v>83</v>
      </c>
      <c r="B62" s="5"/>
      <c r="C62" s="21"/>
      <c r="D62" s="21"/>
      <c r="E62" s="21"/>
      <c r="F62" s="21"/>
      <c r="G62" s="21"/>
      <c r="H62" s="21"/>
      <c r="I62" s="18">
        <f>3/3*3091480</f>
        <v>3091480</v>
      </c>
      <c r="J62" s="17">
        <f>SUM(C62:I62)</f>
        <v>3091480</v>
      </c>
      <c r="K62" s="7"/>
      <c r="L62" s="7"/>
      <c r="M62" s="7"/>
      <c r="N62" s="7"/>
      <c r="O62" s="16"/>
      <c r="P62" s="7"/>
      <c r="Q62" s="7"/>
      <c r="R62" s="7">
        <f>4/4*92748</f>
        <v>92748</v>
      </c>
      <c r="S62" s="7"/>
      <c r="T62" s="7"/>
      <c r="U62" s="7"/>
      <c r="V62" s="7"/>
      <c r="W62" s="17">
        <f t="shared" si="4"/>
        <v>92748</v>
      </c>
      <c r="X62" s="10">
        <f t="shared" si="5"/>
        <v>2998732</v>
      </c>
    </row>
    <row r="63" spans="1:24" s="9" customFormat="1" ht="12.75">
      <c r="A63" s="5" t="s">
        <v>0</v>
      </c>
      <c r="B63" s="5">
        <f>2007/2007*(319.33+30375+4583.5+5201.7+9477+1500+50000+504.2+4000+560.5+13714.29+1333+945)</f>
        <v>122513.51999999999</v>
      </c>
      <c r="C63" s="21"/>
      <c r="D63" s="7">
        <f>2/2*(1734945.62-1022213.42-712732.2*0)*0+3/3*(5805528.01-4463824.41)*0+4/4*(6512708.1-4909249.48)*0+5/5*(7271304.42-5469635.2)*0+6/6*((116075.25)*0+1917744.47)+7/7*(((2397660.65*0)+89/89*567465.32+10/10*479916.18+11/11*(13016890.24-9466717.48))+61799/61799*319.33+333/333*179260+956/956*-8453+1024/1024*-2487.5+8696/8696*240+21903/21903*(128198*0+9/9*164826*0+11/11*201454))+10/10*(1493/1493*-4+165051.99)-(3500512.29-5.5)+12/12*(11718053.06-11297627.3)</f>
        <v>3970598.5199999996</v>
      </c>
      <c r="E63" s="21"/>
      <c r="F63" s="21"/>
      <c r="G63" s="21"/>
      <c r="H63" s="21">
        <f>10/10*(42398/42398*-0.5+57398/57398*1+73300/73300*1+79100/79100*2+105300/105300*2)</f>
        <v>5.5</v>
      </c>
      <c r="I63" s="21"/>
      <c r="J63" s="6">
        <f t="shared" si="3"/>
        <v>3970604.0199999996</v>
      </c>
      <c r="K63" s="7"/>
      <c r="L63" s="7"/>
      <c r="M63" s="7"/>
      <c r="N63" s="7">
        <f>11/11*1111/1111*15583+11/11*(10/10*518/518*2105/2105)*5244.54</f>
        <v>20827.54</v>
      </c>
      <c r="O63" s="7">
        <f>7/7*(146505/146505*100+88701/88701*22+67199/67199*1500)+89/89*170306/170306*2550+10/10*(21/21*350+2105/2105*5244.54*0*11/11+111008/111008*(5720*0+12/12*17720))</f>
        <v>22242</v>
      </c>
      <c r="P63" s="7">
        <f>12/12*822904</f>
        <v>822904</v>
      </c>
      <c r="Q63" s="7">
        <f>12/12*288021</f>
        <v>288021</v>
      </c>
      <c r="R63" s="7"/>
      <c r="S63" s="7"/>
      <c r="T63" s="7"/>
      <c r="U63" s="7">
        <f>10/10*(111008/111008*0.2)+11/11*549/549*19*0*12/12</f>
        <v>0.2</v>
      </c>
      <c r="V63" s="7"/>
      <c r="W63" s="6">
        <f t="shared" si="4"/>
        <v>1153994.74</v>
      </c>
      <c r="X63" s="10">
        <f t="shared" si="5"/>
        <v>2816609.2799999993</v>
      </c>
    </row>
    <row r="64" spans="1:24" s="9" customFormat="1" ht="12.75" hidden="1">
      <c r="A64" s="5" t="s">
        <v>1</v>
      </c>
      <c r="B64" s="5">
        <f>2007/2007*(319.33+30375+4583.5+5201.7+9477+1500+50000+504.2+4000+560.5+13714.29+1333+945)</f>
        <v>122513.51999999999</v>
      </c>
      <c r="C64" s="21"/>
      <c r="D64" s="7"/>
      <c r="E64" s="21"/>
      <c r="F64" s="21"/>
      <c r="G64" s="21"/>
      <c r="H64" s="21"/>
      <c r="I64" s="21"/>
      <c r="J64" s="6">
        <f>SUM(C64:I64)</f>
        <v>0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6">
        <f t="shared" si="4"/>
        <v>0</v>
      </c>
      <c r="X64" s="10">
        <f t="shared" si="5"/>
        <v>0</v>
      </c>
    </row>
    <row r="65" spans="1:24" s="9" customFormat="1" ht="12.75" hidden="1">
      <c r="A65" s="5" t="s">
        <v>1</v>
      </c>
      <c r="B65" s="5">
        <f>2007/2007*(319.33+30375+4583.5+5201.7+9477+1500+50000+504.2+4000+560.5+13714.29+1333+945)</f>
        <v>122513.51999999999</v>
      </c>
      <c r="C65" s="21"/>
      <c r="D65" s="7"/>
      <c r="E65" s="21"/>
      <c r="F65" s="21"/>
      <c r="G65" s="21"/>
      <c r="H65" s="21"/>
      <c r="I65" s="21"/>
      <c r="J65" s="6">
        <f>SUM(C65:I65)</f>
        <v>0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6">
        <f t="shared" si="4"/>
        <v>0</v>
      </c>
      <c r="X65" s="10">
        <f t="shared" si="5"/>
        <v>0</v>
      </c>
    </row>
    <row r="66" spans="1:24" s="12" customFormat="1" ht="12.75">
      <c r="A66" s="15"/>
      <c r="B66" s="13">
        <f>SUM(B64:B65)</f>
        <v>245027.03999999998</v>
      </c>
      <c r="C66" s="13">
        <f>D63-B66</f>
        <v>3725571.4799999995</v>
      </c>
      <c r="D66" s="20">
        <f>SUM(D2:D65)</f>
        <v>10584507.67</v>
      </c>
      <c r="E66" s="20">
        <f aca="true" t="shared" si="6" ref="E66:X66">SUM(E2:E65)</f>
        <v>18109.11</v>
      </c>
      <c r="F66" s="6">
        <f t="shared" si="6"/>
        <v>0</v>
      </c>
      <c r="G66" s="20">
        <f t="shared" si="6"/>
        <v>4852.5</v>
      </c>
      <c r="H66" s="20">
        <f t="shared" si="6"/>
        <v>-1988028.1500000001</v>
      </c>
      <c r="I66" s="20">
        <f t="shared" si="6"/>
        <v>3098611.927</v>
      </c>
      <c r="J66" s="20">
        <f t="shared" si="6"/>
        <v>11718053.057</v>
      </c>
      <c r="K66" s="20">
        <f t="shared" si="6"/>
        <v>31933.100000000002</v>
      </c>
      <c r="L66" s="20">
        <f t="shared" si="6"/>
        <v>52856.91</v>
      </c>
      <c r="M66" s="20">
        <f t="shared" si="6"/>
        <v>5200.85</v>
      </c>
      <c r="N66" s="20">
        <f t="shared" si="6"/>
        <v>280487.48</v>
      </c>
      <c r="O66" s="20">
        <f t="shared" si="6"/>
        <v>865263.03</v>
      </c>
      <c r="P66" s="20">
        <f t="shared" si="6"/>
        <v>1831773</v>
      </c>
      <c r="Q66" s="20">
        <f t="shared" si="6"/>
        <v>640401</v>
      </c>
      <c r="R66" s="20">
        <f>SUM(R2:R65)-532/532*836*0</f>
        <v>93584</v>
      </c>
      <c r="S66" s="6">
        <f t="shared" si="6"/>
        <v>0</v>
      </c>
      <c r="T66" s="6">
        <f t="shared" si="6"/>
        <v>0</v>
      </c>
      <c r="U66" s="20">
        <f t="shared" si="6"/>
        <v>-823.3700000000013</v>
      </c>
      <c r="V66" s="6">
        <f t="shared" si="6"/>
        <v>0</v>
      </c>
      <c r="W66" s="20">
        <f t="shared" si="6"/>
        <v>3800676</v>
      </c>
      <c r="X66" s="32">
        <f t="shared" si="6"/>
        <v>7917377.056999998</v>
      </c>
    </row>
    <row r="67" spans="1:24" s="9" customFormat="1" ht="24">
      <c r="A67" s="14"/>
      <c r="B67" s="5"/>
      <c r="C67" s="29">
        <f>SUM(C64:C65)</f>
        <v>0</v>
      </c>
      <c r="D67" s="21"/>
      <c r="E67" s="21"/>
      <c r="F67" s="21"/>
      <c r="G67" s="21"/>
      <c r="H67" s="30" t="s">
        <v>67</v>
      </c>
      <c r="I67" s="21"/>
      <c r="J67" s="20">
        <f>SUM(C66*0,D66:I66)</f>
        <v>11718053.057</v>
      </c>
      <c r="K67" s="31"/>
      <c r="L67" s="31"/>
      <c r="M67" s="7"/>
      <c r="N67" s="24"/>
      <c r="O67" s="24"/>
      <c r="P67" s="21"/>
      <c r="Q67" s="21"/>
      <c r="R67" s="24"/>
      <c r="S67" s="21"/>
      <c r="T67" s="21"/>
      <c r="U67" s="24"/>
      <c r="V67" s="7"/>
      <c r="W67" s="20">
        <f>SUM(K66:V66)</f>
        <v>3800676</v>
      </c>
      <c r="X67" s="33">
        <f>J66-W66</f>
        <v>7917377.057</v>
      </c>
    </row>
  </sheetData>
  <sheetProtection password="CC4F" sheet="1" objects="1" scenarios="1"/>
  <printOptions gridLines="1"/>
  <pageMargins left="0.3937007874015748" right="0" top="0.5905511811023623" bottom="0.5905511811023623" header="0.11811023622047245" footer="0.11811023622047245"/>
  <pageSetup horizontalDpi="360" verticalDpi="360" orientation="landscape" paperSize="9" scale="68" r:id="rId1"/>
  <headerFooter alignWithMargins="0">
    <oddHeader>&amp;LZávěrečný účet Ekonomická činnost MČ Praha 16 k 31.12.2008&amp;C &amp;RZMČ 17.6.2009</oddHeader>
    <oddFooter>&amp;LTišlová OE ÚMČ P 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Marta Tišlová</cp:lastModifiedBy>
  <cp:lastPrinted>2011-07-12T15:56:33Z</cp:lastPrinted>
  <dcterms:created xsi:type="dcterms:W3CDTF">2007-02-13T23:37:01Z</dcterms:created>
  <dcterms:modified xsi:type="dcterms:W3CDTF">2011-07-12T15:58:21Z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