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5" windowWidth="18585" windowHeight="4560" activeTab="0"/>
  </bookViews>
  <sheets>
    <sheet name="List1" sheetId="1" r:id="rId1"/>
    <sheet name="List3" sheetId="2" r:id="rId2"/>
  </sheets>
  <definedNames>
    <definedName name="_xlnm.Print_Titles" localSheetId="0">'List1'!$A:$A,'List1'!$2:$2</definedName>
  </definedNames>
  <calcPr fullCalcOnLoad="1"/>
</workbook>
</file>

<file path=xl/sharedStrings.xml><?xml version="1.0" encoding="utf-8"?>
<sst xmlns="http://schemas.openxmlformats.org/spreadsheetml/2006/main" count="131" uniqueCount="127">
  <si>
    <t>602 prodej služeb</t>
  </si>
  <si>
    <t>604 prodej zboží</t>
  </si>
  <si>
    <t>644 úroky</t>
  </si>
  <si>
    <t>649 jiné ost.výnosy</t>
  </si>
  <si>
    <t>výnosy</t>
  </si>
  <si>
    <t>501 materiál</t>
  </si>
  <si>
    <t>502 energie</t>
  </si>
  <si>
    <r>
      <t xml:space="preserve">503 ost. </t>
    </r>
    <r>
      <rPr>
        <b/>
        <i/>
        <sz val="7"/>
        <rFont val="Arial CE"/>
        <family val="2"/>
      </rPr>
      <t>neskl.dod</t>
    </r>
  </si>
  <si>
    <t>518 ost.služby</t>
  </si>
  <si>
    <t>521 mzd.nákl</t>
  </si>
  <si>
    <t>524 zák.soc.poj</t>
  </si>
  <si>
    <t>532 DzN 538 daně a popl</t>
  </si>
  <si>
    <t>542 ost. pok. a pen</t>
  </si>
  <si>
    <t>543 odpis nedobyt</t>
  </si>
  <si>
    <t>náklady</t>
  </si>
  <si>
    <t>zisk (+) ztráta (-)</t>
  </si>
  <si>
    <t>xx</t>
  </si>
  <si>
    <t>4 NZZ</t>
  </si>
  <si>
    <t>16 Noviny P 16</t>
  </si>
  <si>
    <t>3313 kino</t>
  </si>
  <si>
    <t>3314 knihovna</t>
  </si>
  <si>
    <t>3319 kult.stř</t>
  </si>
  <si>
    <t>3632 hrob.místa</t>
  </si>
  <si>
    <t>4522 rekr.zař</t>
  </si>
  <si>
    <t>6171 plakát, rozhlas</t>
  </si>
  <si>
    <t>43511 PS dovoz obědů</t>
  </si>
  <si>
    <t>61712 park.hod. prodej</t>
  </si>
  <si>
    <t>43512 PS fyzioter</t>
  </si>
  <si>
    <r>
      <t xml:space="preserve">110819 </t>
    </r>
    <r>
      <rPr>
        <i/>
        <sz val="7"/>
        <rFont val="Arial CE"/>
        <family val="2"/>
      </rPr>
      <t>parkoviště NZZ</t>
    </r>
  </si>
  <si>
    <t>461 DPS</t>
  </si>
  <si>
    <t>1522 MMB</t>
  </si>
  <si>
    <t>čp. 1100</t>
  </si>
  <si>
    <t>čp. 1367</t>
  </si>
  <si>
    <t>2098 Na Bet</t>
  </si>
  <si>
    <t>992 Na Viničkách</t>
  </si>
  <si>
    <t>603       pronájem</t>
  </si>
  <si>
    <t>662   úroky</t>
  </si>
  <si>
    <t>čp. 1517 NDPS</t>
  </si>
  <si>
    <t>čp. 1368</t>
  </si>
  <si>
    <t>98 pronajaté obj.</t>
  </si>
  <si>
    <r>
      <t xml:space="preserve">528529 </t>
    </r>
    <r>
      <rPr>
        <i/>
        <sz val="7"/>
        <rFont val="Arial"/>
        <family val="2"/>
      </rPr>
      <t>pozemky směna Červených</t>
    </r>
  </si>
  <si>
    <t>2105 dřevák Sebast</t>
  </si>
  <si>
    <t>3313/1 KLUB kino</t>
  </si>
  <si>
    <r>
      <t>61,74,</t>
    </r>
    <r>
      <rPr>
        <i/>
        <sz val="8"/>
        <rFont val="Arial CE"/>
        <family val="2"/>
      </rPr>
      <t>75 Vinohrady</t>
    </r>
  </si>
  <si>
    <r>
      <t>61715 TV Net</t>
    </r>
    <r>
      <rPr>
        <i/>
        <sz val="7"/>
        <rFont val="Arial CE"/>
        <family val="2"/>
      </rPr>
      <t xml:space="preserve"> vč.oprav tras</t>
    </r>
  </si>
  <si>
    <t>1043 Nýřanská</t>
  </si>
  <si>
    <t>čp. 1379</t>
  </si>
  <si>
    <t>9102010 Hav.posv</t>
  </si>
  <si>
    <t>246210 oprava na 602</t>
  </si>
  <si>
    <t>639 ost.daně</t>
  </si>
  <si>
    <r>
      <t xml:space="preserve">čp. 1061,1062, </t>
    </r>
    <r>
      <rPr>
        <i/>
        <sz val="8"/>
        <rFont val="Arial"/>
        <family val="2"/>
      </rPr>
      <t>1063</t>
    </r>
  </si>
  <si>
    <r>
      <t xml:space="preserve">čp. </t>
    </r>
    <r>
      <rPr>
        <i/>
        <sz val="8"/>
        <rFont val="Arial"/>
        <family val="2"/>
      </rPr>
      <t>1065,1066,</t>
    </r>
    <r>
      <rPr>
        <i/>
        <sz val="8"/>
        <rFont val="Arial"/>
        <family val="2"/>
      </rPr>
      <t>1067,1068</t>
    </r>
  </si>
  <si>
    <r>
      <t xml:space="preserve">čp </t>
    </r>
    <r>
      <rPr>
        <i/>
        <sz val="8"/>
        <rFont val="Arial CE"/>
        <family val="0"/>
      </rPr>
      <t>1074,</t>
    </r>
    <r>
      <rPr>
        <i/>
        <sz val="8"/>
        <rFont val="Arial CE"/>
        <family val="2"/>
      </rPr>
      <t>1075</t>
    </r>
  </si>
  <si>
    <r>
      <t>čp. 1080,1081,</t>
    </r>
    <r>
      <rPr>
        <i/>
        <sz val="8"/>
        <rFont val="Arial CE"/>
        <family val="0"/>
      </rPr>
      <t>1082</t>
    </r>
  </si>
  <si>
    <r>
      <t xml:space="preserve">čp. 1112 </t>
    </r>
    <r>
      <rPr>
        <i/>
        <sz val="8"/>
        <rFont val="Arial CE"/>
        <family val="0"/>
      </rPr>
      <t>a čp. 102</t>
    </r>
  </si>
  <si>
    <r>
      <t>5163 bank.popl</t>
    </r>
    <r>
      <rPr>
        <i/>
        <sz val="8"/>
        <rFont val="Arial CE"/>
        <family val="0"/>
      </rPr>
      <t xml:space="preserve"> nákl: 569 !!</t>
    </r>
  </si>
  <si>
    <r>
      <t>5164 bank.popl BH</t>
    </r>
    <r>
      <rPr>
        <i/>
        <sz val="8"/>
        <rFont val="Arial CE"/>
        <family val="0"/>
      </rPr>
      <t xml:space="preserve"> nákl 5169 !!</t>
    </r>
  </si>
  <si>
    <r>
      <t xml:space="preserve">357 21 </t>
    </r>
    <r>
      <rPr>
        <i/>
        <sz val="8"/>
        <rFont val="Arial"/>
        <family val="2"/>
      </rPr>
      <t>pozemek Pokrok</t>
    </r>
  </si>
  <si>
    <r>
      <t>2285,2286,2344/10</t>
    </r>
    <r>
      <rPr>
        <i/>
        <sz val="7"/>
        <rFont val="Arial CE"/>
        <family val="0"/>
      </rPr>
      <t xml:space="preserve"> tísň.vol</t>
    </r>
  </si>
  <si>
    <r>
      <t>233410</t>
    </r>
    <r>
      <rPr>
        <i/>
        <sz val="6"/>
        <rFont val="Arial CE"/>
        <family val="0"/>
      </rPr>
      <t xml:space="preserve"> (10) </t>
    </r>
    <r>
      <rPr>
        <i/>
        <sz val="8"/>
        <rFont val="Arial CE"/>
        <family val="2"/>
      </rPr>
      <t>239010</t>
    </r>
    <r>
      <rPr>
        <i/>
        <sz val="6"/>
        <rFont val="Arial CE"/>
        <family val="0"/>
      </rPr>
      <t xml:space="preserve"> (30 JSDH) </t>
    </r>
    <r>
      <rPr>
        <i/>
        <sz val="7"/>
        <rFont val="Arial CE"/>
        <family val="0"/>
      </rPr>
      <t>prodej vozu</t>
    </r>
  </si>
  <si>
    <r>
      <t>237110</t>
    </r>
    <r>
      <rPr>
        <i/>
        <sz val="7"/>
        <rFont val="Arial"/>
        <family val="2"/>
      </rPr>
      <t xml:space="preserve"> ČMC reklama</t>
    </r>
  </si>
  <si>
    <r>
      <t>12022011</t>
    </r>
    <r>
      <rPr>
        <i/>
        <sz val="8"/>
        <rFont val="Arial CE"/>
        <family val="2"/>
      </rPr>
      <t xml:space="preserve"> ples</t>
    </r>
  </si>
  <si>
    <t>551 DzPN</t>
  </si>
  <si>
    <t>1022 DzPN</t>
  </si>
  <si>
    <t>2011 Farmářské trhy</t>
  </si>
  <si>
    <r>
      <t xml:space="preserve">22011 </t>
    </r>
    <r>
      <rPr>
        <i/>
        <sz val="7"/>
        <rFont val="Arial"/>
        <family val="0"/>
      </rPr>
      <t>BH 2/2011</t>
    </r>
  </si>
  <si>
    <r>
      <t xml:space="preserve">32011 </t>
    </r>
    <r>
      <rPr>
        <i/>
        <sz val="7"/>
        <rFont val="Arial"/>
        <family val="0"/>
      </rPr>
      <t>BH 3/2011</t>
    </r>
  </si>
  <si>
    <r>
      <t xml:space="preserve">42011 </t>
    </r>
    <r>
      <rPr>
        <i/>
        <sz val="7"/>
        <rFont val="Arial"/>
        <family val="0"/>
      </rPr>
      <t>BH 4/2011</t>
    </r>
  </si>
  <si>
    <r>
      <t xml:space="preserve">52011 </t>
    </r>
    <r>
      <rPr>
        <i/>
        <sz val="7"/>
        <rFont val="Arial"/>
        <family val="0"/>
      </rPr>
      <t>BH 5/2011</t>
    </r>
  </si>
  <si>
    <t>čp. 1078,1079</t>
  </si>
  <si>
    <r>
      <t xml:space="preserve">62011 </t>
    </r>
    <r>
      <rPr>
        <i/>
        <sz val="7"/>
        <rFont val="Arial"/>
        <family val="0"/>
      </rPr>
      <t>BH 6/2011</t>
    </r>
  </si>
  <si>
    <t>1600 SON správa+ parkování</t>
  </si>
  <si>
    <t>170306 ZUŠ čp. 60</t>
  </si>
  <si>
    <t>21 čp. ubyt. (střecha)</t>
  </si>
  <si>
    <t>18 FWE odvod FŽP</t>
  </si>
  <si>
    <r>
      <t xml:space="preserve">72011 </t>
    </r>
    <r>
      <rPr>
        <i/>
        <sz val="7"/>
        <rFont val="Arial"/>
        <family val="0"/>
      </rPr>
      <t>BH 7/2011</t>
    </r>
  </si>
  <si>
    <t>pozemek p.č. 2451/5</t>
  </si>
  <si>
    <t>pozemek p.č. 1721/15</t>
  </si>
  <si>
    <t>pozemek p.č. 1674/2</t>
  </si>
  <si>
    <r>
      <t>55</t>
    </r>
    <r>
      <rPr>
        <b/>
        <i/>
        <sz val="8"/>
        <rFont val="Arial CE"/>
        <family val="0"/>
      </rPr>
      <t>3/554</t>
    </r>
    <r>
      <rPr>
        <b/>
        <i/>
        <sz val="8"/>
        <rFont val="Arial CE"/>
        <family val="2"/>
      </rPr>
      <t xml:space="preserve"> zůst. cena prod</t>
    </r>
  </si>
  <si>
    <t>nájemné nebyty:</t>
  </si>
  <si>
    <t>nájemné pozemky:</t>
  </si>
  <si>
    <t>nájemné celkem:</t>
  </si>
  <si>
    <t>nájemné věcná břemena:</t>
  </si>
  <si>
    <t>nájemné hrob.místa:</t>
  </si>
  <si>
    <t>741600 volný byt čp. 74</t>
  </si>
  <si>
    <t>17092011 Burčákobraní</t>
  </si>
  <si>
    <t>pozemek p.č. 1721/17</t>
  </si>
  <si>
    <t>82011 BH 8/2011</t>
  </si>
  <si>
    <t>BH nájemné byty:</t>
  </si>
  <si>
    <t>nebyt s org</t>
  </si>
  <si>
    <t>pozemky+věc.břem v náj.sml.</t>
  </si>
  <si>
    <t>nebyty v náj.sml.</t>
  </si>
  <si>
    <t>pozemky bez orgu</t>
  </si>
  <si>
    <t>nebyt celkem (rozdíl)</t>
  </si>
  <si>
    <r>
      <t>641 penále 642</t>
    </r>
    <r>
      <rPr>
        <b/>
        <i/>
        <sz val="7"/>
        <rFont val="Arial CE"/>
        <family val="0"/>
      </rPr>
      <t xml:space="preserve"> jiné pok.a pen</t>
    </r>
  </si>
  <si>
    <r>
      <t xml:space="preserve">prodej  647 </t>
    </r>
    <r>
      <rPr>
        <b/>
        <i/>
        <sz val="7"/>
        <rFont val="Arial CE"/>
        <family val="0"/>
      </rPr>
      <t xml:space="preserve">pozemků </t>
    </r>
    <r>
      <rPr>
        <b/>
        <i/>
        <sz val="8"/>
        <rFont val="Arial CE"/>
        <family val="0"/>
      </rPr>
      <t>646</t>
    </r>
    <r>
      <rPr>
        <b/>
        <i/>
        <sz val="7"/>
        <rFont val="Arial CE"/>
        <family val="0"/>
      </rPr>
      <t xml:space="preserve"> </t>
    </r>
    <r>
      <rPr>
        <b/>
        <i/>
        <sz val="6"/>
        <rFont val="Arial CE"/>
        <family val="0"/>
      </rPr>
      <t>651</t>
    </r>
    <r>
      <rPr>
        <b/>
        <i/>
        <sz val="8"/>
        <rFont val="Arial CE"/>
        <family val="2"/>
      </rPr>
      <t xml:space="preserve"> </t>
    </r>
    <r>
      <rPr>
        <b/>
        <i/>
        <sz val="7"/>
        <rFont val="Arial CE"/>
        <family val="0"/>
      </rPr>
      <t>NIM a HIM</t>
    </r>
  </si>
  <si>
    <r>
      <t xml:space="preserve"> 511 </t>
    </r>
    <r>
      <rPr>
        <i/>
        <sz val="7"/>
        <rFont val="Arial CE"/>
        <family val="2"/>
      </rPr>
      <t xml:space="preserve">opr. a údržba                            </t>
    </r>
    <r>
      <rPr>
        <b/>
        <i/>
        <sz val="8"/>
        <rFont val="Arial CE"/>
        <family val="2"/>
      </rPr>
      <t>512</t>
    </r>
    <r>
      <rPr>
        <i/>
        <sz val="7"/>
        <rFont val="Arial CE"/>
        <family val="2"/>
      </rPr>
      <t xml:space="preserve"> cestovné</t>
    </r>
  </si>
  <si>
    <t>92011 BH 9/2011</t>
  </si>
  <si>
    <t>15102011 Hav.posv</t>
  </si>
  <si>
    <r>
      <t>xx org 130 (</t>
    </r>
    <r>
      <rPr>
        <i/>
        <sz val="8"/>
        <rFont val="Arial CE"/>
        <family val="0"/>
      </rPr>
      <t>070)</t>
    </r>
    <r>
      <rPr>
        <i/>
        <sz val="8"/>
        <rFont val="Arial CE"/>
        <family val="2"/>
      </rPr>
      <t xml:space="preserve"> SON čp. 1600</t>
    </r>
  </si>
  <si>
    <t>133504 TV Net</t>
  </si>
  <si>
    <r>
      <t>4520 DS</t>
    </r>
    <r>
      <rPr>
        <i/>
        <sz val="7"/>
        <rFont val="Arial CE"/>
        <family val="0"/>
      </rPr>
      <t xml:space="preserve"> nebyt </t>
    </r>
    <r>
      <rPr>
        <i/>
        <sz val="8"/>
        <rFont val="Arial CE"/>
        <family val="0"/>
      </rPr>
      <t>G org 1517</t>
    </r>
  </si>
  <si>
    <t>pozemek p.č. 333</t>
  </si>
  <si>
    <t>pozemek p.č. 1626</t>
  </si>
  <si>
    <t>pozemek p.č. 1257/4</t>
  </si>
  <si>
    <t>264511 prodej automobilu</t>
  </si>
  <si>
    <t>nájemné PS jídlonosiče</t>
  </si>
  <si>
    <t>L e d e n - p r o s i n e c    2 0 1 1   v ý n o s y</t>
  </si>
  <si>
    <t>L e d e n - p r o s i n e c   2 0 1 1   n á k l a d y</t>
  </si>
  <si>
    <t>DPPO za 2011:</t>
  </si>
  <si>
    <t>102011 BH 10/2011</t>
  </si>
  <si>
    <t>112011 BH 11/2011</t>
  </si>
  <si>
    <t>převod na SU 602</t>
  </si>
  <si>
    <r>
      <t xml:space="preserve">556 opr.pol. </t>
    </r>
    <r>
      <rPr>
        <b/>
        <i/>
        <sz val="8"/>
        <rFont val="Arial CE"/>
        <family val="2"/>
      </rPr>
      <t>569 ost.fin.nákl</t>
    </r>
  </si>
  <si>
    <r>
      <t>541</t>
    </r>
    <r>
      <rPr>
        <b/>
        <i/>
        <sz val="7"/>
        <rFont val="Arial CE"/>
        <family val="0"/>
      </rPr>
      <t xml:space="preserve"> jiné pok. a pen.</t>
    </r>
    <r>
      <rPr>
        <b/>
        <i/>
        <sz val="8"/>
        <rFont val="Arial CE"/>
        <family val="2"/>
      </rPr>
      <t>542</t>
    </r>
    <r>
      <rPr>
        <b/>
        <i/>
        <sz val="7"/>
        <rFont val="Arial CE"/>
        <family val="2"/>
      </rPr>
      <t xml:space="preserve"> pok.a pen. </t>
    </r>
    <r>
      <rPr>
        <b/>
        <i/>
        <sz val="8"/>
        <rFont val="Arial CE"/>
        <family val="2"/>
      </rPr>
      <t>549</t>
    </r>
    <r>
      <rPr>
        <b/>
        <i/>
        <sz val="7"/>
        <rFont val="Arial CE"/>
        <family val="2"/>
      </rPr>
      <t xml:space="preserve"> jiné ost.nákl</t>
    </r>
  </si>
  <si>
    <t>338  trafika/WC provoz</t>
  </si>
  <si>
    <t>23  kniha o Radotínu</t>
  </si>
  <si>
    <t>1-11 2011  BH 1-11/2011</t>
  </si>
  <si>
    <r>
      <t xml:space="preserve">5 JSDH, bazar </t>
    </r>
    <r>
      <rPr>
        <i/>
        <sz val="8"/>
        <rFont val="Arial CE"/>
        <family val="0"/>
      </rPr>
      <t>44 KS</t>
    </r>
  </si>
  <si>
    <r>
      <t xml:space="preserve">čp. 74, </t>
    </r>
    <r>
      <rPr>
        <i/>
        <sz val="8"/>
        <rFont val="Arial CE"/>
        <family val="0"/>
      </rPr>
      <t>75, čp.954</t>
    </r>
  </si>
  <si>
    <r>
      <t>čp. 1069,1070,</t>
    </r>
    <r>
      <rPr>
        <i/>
        <sz val="8"/>
        <rFont val="Arial CE"/>
        <family val="0"/>
      </rPr>
      <t>1071,72-73</t>
    </r>
  </si>
  <si>
    <r>
      <t xml:space="preserve">čp. 1251, </t>
    </r>
    <r>
      <rPr>
        <i/>
        <sz val="8"/>
        <rFont val="Arial CE"/>
        <family val="0"/>
      </rPr>
      <t>čp. 1367, 1368</t>
    </r>
  </si>
  <si>
    <r>
      <t xml:space="preserve">122011 </t>
    </r>
    <r>
      <rPr>
        <i/>
        <sz val="8"/>
        <rFont val="Arial"/>
        <family val="2"/>
      </rPr>
      <t>BH 12/2011</t>
    </r>
  </si>
  <si>
    <r>
      <t xml:space="preserve">BH </t>
    </r>
    <r>
      <rPr>
        <b/>
        <sz val="7"/>
        <rFont val="Arial CE"/>
        <family val="2"/>
      </rPr>
      <t>nájemné nebyty</t>
    </r>
    <r>
      <rPr>
        <b/>
        <sz val="8"/>
        <rFont val="Arial CE"/>
        <family val="2"/>
      </rPr>
      <t>:</t>
    </r>
  </si>
  <si>
    <r>
      <t>4351</t>
    </r>
    <r>
      <rPr>
        <i/>
        <sz val="8"/>
        <rFont val="Arial CE"/>
        <family val="0"/>
      </rPr>
      <t>1</t>
    </r>
    <r>
      <rPr>
        <i/>
        <sz val="8"/>
        <rFont val="Arial CE"/>
        <family val="2"/>
      </rPr>
      <t xml:space="preserve"> PS </t>
    </r>
    <r>
      <rPr>
        <i/>
        <sz val="8"/>
        <rFont val="Arial CE"/>
        <family val="0"/>
      </rPr>
      <t>pronájem termonádob</t>
    </r>
  </si>
  <si>
    <r>
      <t xml:space="preserve">náj.sml </t>
    </r>
    <r>
      <rPr>
        <i/>
        <sz val="8"/>
        <rFont val="Arial CE"/>
        <family val="0"/>
      </rPr>
      <t>602 věcná břemena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</si>
</sst>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b/>
      <i/>
      <sz val="8"/>
      <name val="Arial CE"/>
      <family val="2"/>
    </font>
    <font>
      <b/>
      <sz val="11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8"/>
      <name val="Arial"/>
      <family val="0"/>
    </font>
    <font>
      <i/>
      <sz val="7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i/>
      <sz val="6"/>
      <name val="Arial CE"/>
      <family val="0"/>
    </font>
    <font>
      <i/>
      <sz val="6"/>
      <name val="Arial CE"/>
      <family val="0"/>
    </font>
    <font>
      <sz val="7"/>
      <name val="Arial"/>
      <family val="0"/>
    </font>
    <font>
      <b/>
      <sz val="7"/>
      <name val="Arial CE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6"/>
      <name val="Arial CE"/>
      <family val="2"/>
    </font>
    <font>
      <i/>
      <sz val="9"/>
      <name val="Arial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4" fontId="1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Alignment="1">
      <alignment/>
    </xf>
    <xf numFmtId="0" fontId="2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4" fontId="2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14" fillId="2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6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4" fontId="19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4" fontId="17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zoomScale="90" zoomScaleNormal="9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9" sqref="AE9"/>
    </sheetView>
  </sheetViews>
  <sheetFormatPr defaultColWidth="9.140625" defaultRowHeight="12.75"/>
  <cols>
    <col min="1" max="1" width="22.7109375" style="5" customWidth="1"/>
    <col min="2" max="2" width="0" style="10" hidden="1" customWidth="1"/>
    <col min="3" max="3" width="11.7109375" style="27" customWidth="1"/>
    <col min="4" max="4" width="12.7109375" style="27" customWidth="1"/>
    <col min="5" max="5" width="12.28125" style="27" customWidth="1"/>
    <col min="6" max="6" width="9.7109375" style="27" customWidth="1"/>
    <col min="7" max="7" width="12.7109375" style="27" customWidth="1"/>
    <col min="8" max="8" width="0" style="27" hidden="1" customWidth="1"/>
    <col min="9" max="9" width="12.28125" style="27" customWidth="1"/>
    <col min="10" max="10" width="17.7109375" style="27" customWidth="1"/>
    <col min="11" max="11" width="9.8515625" style="27" customWidth="1"/>
    <col min="12" max="12" width="13.57421875" style="10" customWidth="1"/>
    <col min="13" max="14" width="14.7109375" style="84" customWidth="1"/>
    <col min="15" max="16" width="14.7109375" style="41" hidden="1" customWidth="1"/>
    <col min="17" max="17" width="11.00390625" style="28" customWidth="1"/>
    <col min="18" max="18" width="9.8515625" style="28" hidden="1" customWidth="1"/>
    <col min="19" max="19" width="11.00390625" style="28" customWidth="1"/>
    <col min="20" max="20" width="7.8515625" style="28" customWidth="1"/>
    <col min="21" max="21" width="11.57421875" style="28" customWidth="1"/>
    <col min="22" max="22" width="11.57421875" style="28" hidden="1" customWidth="1"/>
    <col min="23" max="23" width="11.00390625" style="28" customWidth="1"/>
    <col min="24" max="24" width="11.28125" style="28" customWidth="1"/>
    <col min="25" max="25" width="11.00390625" style="28" customWidth="1"/>
    <col min="26" max="26" width="11.00390625" style="28" hidden="1" customWidth="1"/>
    <col min="27" max="27" width="11.00390625" style="28" customWidth="1"/>
    <col min="28" max="29" width="5.7109375" style="28" hidden="1" customWidth="1"/>
    <col min="30" max="30" width="19.7109375" style="28" customWidth="1"/>
    <col min="31" max="31" width="12.57421875" style="28" customWidth="1"/>
    <col min="32" max="32" width="13.7109375" style="28" customWidth="1"/>
    <col min="33" max="33" width="12.57421875" style="51" customWidth="1"/>
    <col min="34" max="34" width="12.7109375" style="51" customWidth="1"/>
    <col min="35" max="16384" width="9.140625" style="51" customWidth="1"/>
  </cols>
  <sheetData>
    <row r="1" spans="1:33" s="52" customFormat="1" ht="12.75">
      <c r="A1" s="26"/>
      <c r="B1" s="57"/>
      <c r="C1" s="90" t="s">
        <v>108</v>
      </c>
      <c r="D1" s="91"/>
      <c r="E1" s="91"/>
      <c r="F1" s="91"/>
      <c r="G1" s="91"/>
      <c r="H1" s="91"/>
      <c r="I1" s="91"/>
      <c r="J1" s="91"/>
      <c r="K1" s="91"/>
      <c r="L1" s="91"/>
      <c r="M1" s="58"/>
      <c r="N1" s="58"/>
      <c r="O1" s="59"/>
      <c r="P1" s="59"/>
      <c r="Q1" s="92" t="s">
        <v>109</v>
      </c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62" customFormat="1" ht="24" customHeight="1">
      <c r="A2" s="13"/>
      <c r="B2" s="10"/>
      <c r="C2" s="11" t="s">
        <v>0</v>
      </c>
      <c r="D2" s="11" t="s">
        <v>35</v>
      </c>
      <c r="E2" s="11" t="s">
        <v>1</v>
      </c>
      <c r="F2" s="4" t="s">
        <v>49</v>
      </c>
      <c r="G2" s="11" t="s">
        <v>95</v>
      </c>
      <c r="H2" s="11" t="s">
        <v>2</v>
      </c>
      <c r="I2" s="11" t="s">
        <v>3</v>
      </c>
      <c r="J2" s="11" t="s">
        <v>96</v>
      </c>
      <c r="K2" s="11" t="s">
        <v>36</v>
      </c>
      <c r="L2" s="12" t="s">
        <v>4</v>
      </c>
      <c r="M2" s="37"/>
      <c r="N2" s="37"/>
      <c r="O2" s="39"/>
      <c r="P2" s="39"/>
      <c r="Q2" s="4" t="s">
        <v>5</v>
      </c>
      <c r="R2" s="4"/>
      <c r="S2" s="4" t="s">
        <v>6</v>
      </c>
      <c r="T2" s="4" t="s">
        <v>7</v>
      </c>
      <c r="U2" s="6" t="s">
        <v>97</v>
      </c>
      <c r="V2" s="6"/>
      <c r="W2" s="4" t="s">
        <v>8</v>
      </c>
      <c r="X2" s="4" t="s">
        <v>9</v>
      </c>
      <c r="Y2" s="4" t="s">
        <v>10</v>
      </c>
      <c r="Z2" s="4"/>
      <c r="AA2" s="4" t="s">
        <v>11</v>
      </c>
      <c r="AB2" s="4" t="s">
        <v>12</v>
      </c>
      <c r="AC2" s="4" t="s">
        <v>13</v>
      </c>
      <c r="AD2" s="54" t="s">
        <v>115</v>
      </c>
      <c r="AE2" s="4" t="s">
        <v>79</v>
      </c>
      <c r="AF2" s="60" t="s">
        <v>114</v>
      </c>
      <c r="AG2" s="1" t="s">
        <v>14</v>
      </c>
      <c r="AH2" s="61" t="s">
        <v>15</v>
      </c>
    </row>
    <row r="3" spans="1:34" s="65" customFormat="1" ht="12.75">
      <c r="A3" s="2" t="s">
        <v>16</v>
      </c>
      <c r="B3" s="10"/>
      <c r="C3" s="21"/>
      <c r="D3" s="43">
        <f>5/5*43/43*6132</f>
        <v>6132</v>
      </c>
      <c r="E3" s="31">
        <f>6/6*290.82</f>
        <v>290.82</v>
      </c>
      <c r="F3" s="31"/>
      <c r="G3" s="31"/>
      <c r="H3" s="31"/>
      <c r="I3" s="18">
        <f>-0.21*130/130*0-1.35*0+22/22*(4/4*-0.4*0+5/5*-1.38*0+6/6*-1.41*0+7/7*-0.91*0+8/8*-0.81*0+9/9*0.25*0+10/10*0.31*0+11/11*(0.18*0+12/12*-0.26+649/649*44/44*395528+12/12*27/27*-3536388.05))</f>
        <v>-3140860.3099999996</v>
      </c>
      <c r="J3" s="63">
        <f>5/5*138040*0*8/8</f>
        <v>0</v>
      </c>
      <c r="K3" s="63">
        <f>3/3*8235.29*0+6/6*19518.06*0+9/9*23555.96*0+12/12*31797.52</f>
        <v>31797.52</v>
      </c>
      <c r="L3" s="85">
        <f>SUM(B3:K3)</f>
        <v>-3102639.9699999997</v>
      </c>
      <c r="M3" s="38"/>
      <c r="N3" s="38"/>
      <c r="O3" s="40"/>
      <c r="P3" s="40"/>
      <c r="Q3" s="28"/>
      <c r="R3" s="28"/>
      <c r="S3" s="28"/>
      <c r="T3" s="28"/>
      <c r="U3" s="25">
        <f>10/10*7680*0+12/12*58681.8-U4</f>
        <v>45930.200000000004</v>
      </c>
      <c r="V3" s="28"/>
      <c r="W3" s="28"/>
      <c r="X3" s="28"/>
      <c r="Y3" s="28"/>
      <c r="Z3" s="28"/>
      <c r="AA3" s="28"/>
      <c r="AB3" s="28"/>
      <c r="AC3" s="28"/>
      <c r="AD3" s="28">
        <f>11/11*257*0+12/12*2</f>
        <v>2</v>
      </c>
      <c r="AE3" s="28"/>
      <c r="AF3" s="28"/>
      <c r="AG3" s="85">
        <f>SUM(Q3:AF3)</f>
        <v>45932.200000000004</v>
      </c>
      <c r="AH3" s="64">
        <f aca="true" t="shared" si="0" ref="AH3:AH39">L3-AG3</f>
        <v>-3148572.17</v>
      </c>
    </row>
    <row r="4" spans="1:34" s="65" customFormat="1" ht="12.75">
      <c r="A4" s="2" t="s">
        <v>100</v>
      </c>
      <c r="B4" s="10"/>
      <c r="C4" s="21"/>
      <c r="D4" s="21"/>
      <c r="E4" s="21"/>
      <c r="F4" s="21">
        <f>1000</f>
        <v>1000</v>
      </c>
      <c r="G4" s="21">
        <f>641/641*(1366*0+3/3*3371*0+5/5*4737*0+6/6*5420*0+7/7*5946*0+8/8*6472*0+9/9*8498*0+10/10*24838*0+11/11*25509*0+12/12*26040)+642/642*(4/4*2183*0+5/5*3000)</f>
        <v>29040</v>
      </c>
      <c r="H4" s="21"/>
      <c r="I4" s="21">
        <f>-0.21*0</f>
        <v>0</v>
      </c>
      <c r="J4" s="21"/>
      <c r="K4" s="21">
        <f>3/3*24106.7*0+6/6*39595.3*0+9/9*56959.73*0+12/12*83543.99</f>
        <v>83543.99</v>
      </c>
      <c r="L4" s="85">
        <f>SUM(B4:K4)</f>
        <v>113583.99</v>
      </c>
      <c r="M4" s="38"/>
      <c r="N4" s="38"/>
      <c r="O4" s="40"/>
      <c r="P4" s="40"/>
      <c r="Q4" s="25">
        <f>3904*0+3/3*4133*0+4/4*5350*0+5/5*6644*0+6/6*7655*0+7/7*10133*0+8/8*13464.6*0+9/9*13564.6*0+10/10*13639.6*0+11/11*13773.6</f>
        <v>13773.6</v>
      </c>
      <c r="R4" s="25"/>
      <c r="S4" s="28">
        <f>10/10*527739.79*0+11/11*629947.79</f>
        <v>629947.79</v>
      </c>
      <c r="T4" s="28"/>
      <c r="U4" s="25">
        <f>8/8*7680*0+10/10*12751.6</f>
        <v>12751.6</v>
      </c>
      <c r="V4" s="28"/>
      <c r="W4" s="28">
        <f>8477.7*0+3/3*11986.3*0+4/4*15134.6*0+5/5*17570.6*0+6/6*23569.9*0+7/7*28632.3*0+8/8*32572*0+9/9*36083.7*0+10/10*154402.5*0+11/11*159851.1*0+12/12*173965</f>
        <v>173965</v>
      </c>
      <c r="X4" s="28"/>
      <c r="Y4" s="28"/>
      <c r="Z4" s="28"/>
      <c r="AA4" s="28">
        <f>7/7*1446*(0+8/8)*4522/4522</f>
        <v>1446</v>
      </c>
      <c r="AB4" s="28"/>
      <c r="AC4" s="28"/>
      <c r="AD4" s="28"/>
      <c r="AE4" s="28"/>
      <c r="AF4" s="28"/>
      <c r="AG4" s="85">
        <f>SUM(Q4:AF4)+1446*0</f>
        <v>831883.99</v>
      </c>
      <c r="AH4" s="64">
        <f t="shared" si="0"/>
        <v>-718300</v>
      </c>
    </row>
    <row r="5" spans="1:34" s="65" customFormat="1" ht="12.75">
      <c r="A5" s="2" t="s">
        <v>17</v>
      </c>
      <c r="B5" s="10"/>
      <c r="C5" s="21"/>
      <c r="D5" s="21"/>
      <c r="E5" s="21"/>
      <c r="F5" s="21"/>
      <c r="G5" s="21"/>
      <c r="H5" s="21"/>
      <c r="I5" s="21"/>
      <c r="J5" s="21"/>
      <c r="K5" s="21"/>
      <c r="L5" s="85">
        <f aca="true" t="shared" si="1" ref="L5:L91">SUM(B5:K5)</f>
        <v>0</v>
      </c>
      <c r="M5" s="38"/>
      <c r="N5" s="38"/>
      <c r="O5" s="40"/>
      <c r="P5" s="40"/>
      <c r="Q5" s="25">
        <f>3/3*1160.59*0+5/5*1752.7*0+8/8*22791</f>
        <v>22791</v>
      </c>
      <c r="R5" s="25"/>
      <c r="S5" s="28"/>
      <c r="T5" s="28"/>
      <c r="U5" s="43">
        <f>6/6*27022.89*0+9/9*29804.4</f>
        <v>29804.4</v>
      </c>
      <c r="V5" s="29"/>
      <c r="W5" s="32"/>
      <c r="X5" s="32"/>
      <c r="Y5" s="32"/>
      <c r="Z5" s="32"/>
      <c r="AA5" s="32"/>
      <c r="AB5" s="32"/>
      <c r="AC5" s="32"/>
      <c r="AD5" s="32">
        <f>549/549*(3/3*0.26*0+5/5*0.76*0+6/6*0.34*0+9/9*0.54)</f>
        <v>0.54</v>
      </c>
      <c r="AE5" s="32"/>
      <c r="AF5" s="32"/>
      <c r="AG5" s="86">
        <f aca="true" t="shared" si="2" ref="AG5:AG16">SUM(Q5:AF5)</f>
        <v>52595.94</v>
      </c>
      <c r="AH5" s="64">
        <f t="shared" si="0"/>
        <v>-52595.94</v>
      </c>
    </row>
    <row r="6" spans="1:34" s="65" customFormat="1" ht="12.75">
      <c r="A6" s="2" t="s">
        <v>119</v>
      </c>
      <c r="B6" s="10"/>
      <c r="C6" s="21"/>
      <c r="D6" s="21"/>
      <c r="E6" s="21"/>
      <c r="F6" s="21"/>
      <c r="G6" s="21"/>
      <c r="H6" s="21"/>
      <c r="I6" s="21"/>
      <c r="J6" s="21"/>
      <c r="K6" s="21"/>
      <c r="L6" s="85">
        <f t="shared" si="1"/>
        <v>0</v>
      </c>
      <c r="M6" s="38"/>
      <c r="N6" s="38"/>
      <c r="O6" s="40"/>
      <c r="P6" s="40"/>
      <c r="Q6" s="25"/>
      <c r="R6" s="25"/>
      <c r="S6" s="28"/>
      <c r="T6" s="28"/>
      <c r="U6" s="25">
        <f>12/12*1991</f>
        <v>1991</v>
      </c>
      <c r="V6" s="28"/>
      <c r="W6" s="28">
        <f>1288*0+11/11*(4630+44/44*1572)</f>
        <v>6202</v>
      </c>
      <c r="X6" s="28"/>
      <c r="Y6" s="28"/>
      <c r="Z6" s="28"/>
      <c r="AA6" s="28"/>
      <c r="AB6" s="28"/>
      <c r="AC6" s="28"/>
      <c r="AD6" s="28"/>
      <c r="AE6" s="28"/>
      <c r="AF6" s="28"/>
      <c r="AG6" s="86">
        <f t="shared" si="2"/>
        <v>8193</v>
      </c>
      <c r="AH6" s="64">
        <f t="shared" si="0"/>
        <v>-8193</v>
      </c>
    </row>
    <row r="7" spans="1:34" s="65" customFormat="1" ht="12.75" customHeight="1">
      <c r="A7" s="2" t="s">
        <v>18</v>
      </c>
      <c r="B7" s="10"/>
      <c r="C7" s="21">
        <f>98465.27*0+3/3*137472.89*0+4/4*186916.78*0+5/5*235315.71*0+6/6*285242.9*0+8/8*332478.56*0+9/9*373497.02*0+10/10*417224.43*0+11/11*(471980.35*0+471977.35)*0+12/12*527547.68</f>
        <v>527547.68</v>
      </c>
      <c r="D7" s="21"/>
      <c r="E7" s="21"/>
      <c r="F7" s="21"/>
      <c r="G7" s="21"/>
      <c r="H7" s="21"/>
      <c r="I7" s="21">
        <f>3</f>
        <v>3</v>
      </c>
      <c r="J7" s="21"/>
      <c r="K7" s="21"/>
      <c r="L7" s="85">
        <f t="shared" si="1"/>
        <v>527550.68</v>
      </c>
      <c r="M7" s="38"/>
      <c r="N7" s="38"/>
      <c r="O7" s="40">
        <f>114257+106609-X7</f>
        <v>-194864</v>
      </c>
      <c r="P7" s="40">
        <f>38030+35438-Y7</f>
        <v>-64630</v>
      </c>
      <c r="Q7" s="25"/>
      <c r="R7" s="25"/>
      <c r="S7" s="28"/>
      <c r="T7" s="28"/>
      <c r="U7" s="25"/>
      <c r="V7" s="28"/>
      <c r="W7" s="28">
        <f>46893.6*0+3/3*67896.11*0+4/4*93419.84*0+5/5*124033.72*0+6/6*152588.1*0+8/8*182463.52*0+9/9*205161.49*0+10/10*231617.73*0+11/11*263888.42*0+12/12*306025</f>
        <v>306025</v>
      </c>
      <c r="X7" s="28">
        <f>4/4*114257*0+8/8*220866*0+10/10*318524*0+12/12*415730</f>
        <v>415730</v>
      </c>
      <c r="Y7" s="28">
        <f>4/4*38030*0+8/8*73468*0+10/10*105860*0+12/12*138098</f>
        <v>138098</v>
      </c>
      <c r="Z7" s="28"/>
      <c r="AA7" s="28"/>
      <c r="AB7" s="28"/>
      <c r="AC7" s="28"/>
      <c r="AD7" s="28"/>
      <c r="AE7" s="28"/>
      <c r="AF7" s="28">
        <f>556/556*12/12*12955.4</f>
        <v>12955.4</v>
      </c>
      <c r="AG7" s="86">
        <f t="shared" si="2"/>
        <v>872808.4</v>
      </c>
      <c r="AH7" s="64">
        <f t="shared" si="0"/>
        <v>-345257.72</v>
      </c>
    </row>
    <row r="8" spans="1:34" s="65" customFormat="1" ht="12.75">
      <c r="A8" s="19" t="s">
        <v>74</v>
      </c>
      <c r="B8" s="10"/>
      <c r="C8" s="21"/>
      <c r="D8" s="21"/>
      <c r="E8" s="21"/>
      <c r="F8" s="21"/>
      <c r="G8" s="21"/>
      <c r="H8" s="21"/>
      <c r="I8" s="21">
        <f>(56046.7+0.46)*0+3/3*(46649.65+0.42)*0+4/4*(148493.84+22/22*0.39)*0+7/7*(399521.09+22/22*0.19)*0+10/10*(610635.91*0+22/22*0.41)+12/12*676067.18</f>
        <v>676067.5900000001</v>
      </c>
      <c r="J8" s="21"/>
      <c r="K8" s="21"/>
      <c r="L8" s="85">
        <f>SUM(B8:K8)</f>
        <v>676067.5900000001</v>
      </c>
      <c r="M8" s="38"/>
      <c r="N8" s="38"/>
      <c r="O8" s="40"/>
      <c r="P8" s="40"/>
      <c r="Q8" s="25"/>
      <c r="R8" s="25"/>
      <c r="S8" s="28"/>
      <c r="T8" s="28"/>
      <c r="U8" s="25"/>
      <c r="V8" s="28"/>
      <c r="W8" s="28">
        <f>9/9*10830.38</f>
        <v>10830.38</v>
      </c>
      <c r="X8" s="28"/>
      <c r="Y8" s="28"/>
      <c r="Z8" s="28"/>
      <c r="AA8" s="28">
        <f>4/4*28473*0+7/7*98589*0+10/10*157476*0+12/12*172910</f>
        <v>172910</v>
      </c>
      <c r="AB8" s="28"/>
      <c r="AC8" s="28"/>
      <c r="AD8" s="28">
        <f>12/12*0.11</f>
        <v>0.11</v>
      </c>
      <c r="AE8" s="28"/>
      <c r="AF8" s="28"/>
      <c r="AG8" s="86">
        <f t="shared" si="2"/>
        <v>183740.49</v>
      </c>
      <c r="AH8" s="64">
        <f>L8-AG8</f>
        <v>492327.1000000001</v>
      </c>
    </row>
    <row r="9" spans="1:34" s="65" customFormat="1" ht="12.75">
      <c r="A9" s="19" t="s">
        <v>73</v>
      </c>
      <c r="B9" s="10"/>
      <c r="C9" s="21"/>
      <c r="D9" s="21"/>
      <c r="E9" s="21"/>
      <c r="F9" s="21"/>
      <c r="G9" s="21"/>
      <c r="H9" s="21"/>
      <c r="I9" s="21"/>
      <c r="J9" s="21"/>
      <c r="K9" s="21"/>
      <c r="L9" s="85">
        <f>SUM(B9:K9)</f>
        <v>0</v>
      </c>
      <c r="M9" s="38"/>
      <c r="N9" s="38"/>
      <c r="O9" s="40"/>
      <c r="P9" s="40"/>
      <c r="Q9" s="25"/>
      <c r="R9" s="25"/>
      <c r="S9" s="28"/>
      <c r="T9" s="28"/>
      <c r="U9" s="43">
        <f>4/4*7150</f>
        <v>7150</v>
      </c>
      <c r="V9" s="29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>
        <f t="shared" si="2"/>
        <v>7150</v>
      </c>
      <c r="AH9" s="64">
        <f>L9-AG9</f>
        <v>-7150</v>
      </c>
    </row>
    <row r="10" spans="1:34" s="65" customFormat="1" ht="12.75">
      <c r="A10" s="19" t="s">
        <v>117</v>
      </c>
      <c r="B10" s="10"/>
      <c r="C10" s="21"/>
      <c r="D10" s="21"/>
      <c r="E10" s="21">
        <f>(317+4/4*96+5/5*71+6/6*32+7/7*19+8/8*15+9/9*14+10/10*9+11/11*10+12/12*17)*350/1.1+3/3*1.0036*0+4/4*1.3*0+5/5*1.52*0+6/6*1.62*0+7/7*1.68*0+8/8*1.72*0+9/9*1.76*0+10/10*1.788*0+11/11*1.82*0+12/12*1.87</f>
        <v>190910.96090909088</v>
      </c>
      <c r="F10" s="21"/>
      <c r="G10" s="21"/>
      <c r="H10" s="21"/>
      <c r="I10" s="21"/>
      <c r="J10" s="21"/>
      <c r="K10" s="21"/>
      <c r="L10" s="85">
        <f>SUM(B10:K10)</f>
        <v>190910.96090909088</v>
      </c>
      <c r="M10" s="38"/>
      <c r="N10" s="38"/>
      <c r="O10" s="40"/>
      <c r="P10" s="40"/>
      <c r="Q10" s="25"/>
      <c r="R10" s="25"/>
      <c r="S10" s="28"/>
      <c r="T10" s="28"/>
      <c r="U10" s="25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85">
        <f t="shared" si="2"/>
        <v>0</v>
      </c>
      <c r="AH10" s="64">
        <f>L10-AG10</f>
        <v>190910.96090909088</v>
      </c>
    </row>
    <row r="11" spans="1:34" s="65" customFormat="1" ht="12.75" customHeight="1" hidden="1">
      <c r="A11" s="19" t="s">
        <v>43</v>
      </c>
      <c r="B11" s="10"/>
      <c r="C11" s="21"/>
      <c r="D11" s="21"/>
      <c r="E11" s="21"/>
      <c r="F11" s="21"/>
      <c r="G11" s="21"/>
      <c r="H11" s="21"/>
      <c r="I11" s="21"/>
      <c r="J11" s="21"/>
      <c r="K11" s="21"/>
      <c r="L11" s="85">
        <f t="shared" si="1"/>
        <v>0</v>
      </c>
      <c r="M11" s="38"/>
      <c r="N11" s="38"/>
      <c r="O11" s="40"/>
      <c r="P11" s="40"/>
      <c r="Q11" s="25"/>
      <c r="R11" s="25"/>
      <c r="S11" s="28"/>
      <c r="T11" s="28"/>
      <c r="U11" s="25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85">
        <f t="shared" si="2"/>
        <v>0</v>
      </c>
      <c r="AH11" s="64">
        <f t="shared" si="0"/>
        <v>0</v>
      </c>
    </row>
    <row r="12" spans="1:34" s="65" customFormat="1" ht="12.75" customHeight="1" hidden="1">
      <c r="A12" s="2" t="s">
        <v>39</v>
      </c>
      <c r="B12" s="10"/>
      <c r="C12" s="21"/>
      <c r="D12" s="21"/>
      <c r="E12" s="21"/>
      <c r="F12" s="21"/>
      <c r="G12" s="21"/>
      <c r="H12" s="21"/>
      <c r="I12" s="21"/>
      <c r="J12" s="21"/>
      <c r="K12" s="21"/>
      <c r="L12" s="85">
        <f t="shared" si="1"/>
        <v>0</v>
      </c>
      <c r="M12" s="38"/>
      <c r="N12" s="38"/>
      <c r="O12" s="40"/>
      <c r="P12" s="40"/>
      <c r="Q12" s="25"/>
      <c r="R12" s="25"/>
      <c r="S12" s="28"/>
      <c r="T12" s="28"/>
      <c r="U12" s="25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85">
        <f t="shared" si="2"/>
        <v>0</v>
      </c>
      <c r="AH12" s="64">
        <f t="shared" si="0"/>
        <v>0</v>
      </c>
    </row>
    <row r="13" spans="1:34" s="65" customFormat="1" ht="12.75">
      <c r="A13" s="2" t="s">
        <v>116</v>
      </c>
      <c r="B13" s="10"/>
      <c r="C13" s="21"/>
      <c r="D13" s="21"/>
      <c r="E13" s="21"/>
      <c r="F13" s="21"/>
      <c r="G13" s="21"/>
      <c r="H13" s="21"/>
      <c r="I13" s="21"/>
      <c r="J13" s="21"/>
      <c r="K13" s="21"/>
      <c r="L13" s="85">
        <f>SUM(B13:K13)</f>
        <v>0</v>
      </c>
      <c r="M13" s="38"/>
      <c r="N13" s="38"/>
      <c r="O13" s="40"/>
      <c r="P13" s="40"/>
      <c r="Q13" s="25"/>
      <c r="R13" s="25"/>
      <c r="S13" s="28">
        <f>12/12*50</f>
        <v>50</v>
      </c>
      <c r="T13" s="28"/>
      <c r="U13" s="25"/>
      <c r="V13" s="28"/>
      <c r="W13" s="28">
        <f>6/6*1800</f>
        <v>1800</v>
      </c>
      <c r="X13" s="28"/>
      <c r="Y13" s="28"/>
      <c r="Z13" s="28"/>
      <c r="AA13" s="28"/>
      <c r="AB13" s="28"/>
      <c r="AC13" s="28"/>
      <c r="AD13" s="28"/>
      <c r="AE13" s="28"/>
      <c r="AF13" s="28"/>
      <c r="AG13" s="86">
        <f t="shared" si="2"/>
        <v>1850</v>
      </c>
      <c r="AH13" s="64">
        <f>L13-AG13</f>
        <v>-1850</v>
      </c>
    </row>
    <row r="14" spans="1:34" s="65" customFormat="1" ht="12" customHeight="1">
      <c r="A14" s="2" t="s">
        <v>29</v>
      </c>
      <c r="B14" s="10"/>
      <c r="C14" s="21"/>
      <c r="D14" s="21"/>
      <c r="E14" s="21"/>
      <c r="F14" s="21"/>
      <c r="G14" s="21"/>
      <c r="H14" s="21"/>
      <c r="I14" s="21"/>
      <c r="J14" s="21"/>
      <c r="K14" s="21"/>
      <c r="L14" s="85">
        <f t="shared" si="1"/>
        <v>0</v>
      </c>
      <c r="M14" s="38"/>
      <c r="N14" s="38"/>
      <c r="O14" s="40"/>
      <c r="P14" s="40"/>
      <c r="Q14" s="25"/>
      <c r="R14" s="25"/>
      <c r="S14" s="28"/>
      <c r="T14" s="28"/>
      <c r="U14" s="43">
        <f>1748*0+3/3*(41/41*8717*0+4/4*10752*0+7/7*(16054.2+41/41*10752)+61/61*(3996*0+8/8*31236))</f>
        <v>58042.2</v>
      </c>
      <c r="V14" s="29"/>
      <c r="W14" s="32">
        <f>1092</f>
        <v>1092</v>
      </c>
      <c r="X14" s="32"/>
      <c r="Y14" s="32"/>
      <c r="Z14" s="32"/>
      <c r="AA14" s="32"/>
      <c r="AB14" s="32"/>
      <c r="AC14" s="32"/>
      <c r="AD14" s="32"/>
      <c r="AE14" s="32"/>
      <c r="AF14" s="32"/>
      <c r="AG14" s="86">
        <f t="shared" si="2"/>
        <v>59134.2</v>
      </c>
      <c r="AH14" s="64">
        <f t="shared" si="0"/>
        <v>-59134.2</v>
      </c>
    </row>
    <row r="15" spans="1:34" s="65" customFormat="1" ht="12.75">
      <c r="A15" s="2" t="s">
        <v>62</v>
      </c>
      <c r="B15" s="10"/>
      <c r="C15" s="21"/>
      <c r="D15" s="21"/>
      <c r="E15" s="21"/>
      <c r="F15" s="21"/>
      <c r="G15" s="21"/>
      <c r="H15" s="21"/>
      <c r="I15" s="21"/>
      <c r="J15" s="21"/>
      <c r="K15" s="21"/>
      <c r="L15" s="85">
        <f t="shared" si="1"/>
        <v>0</v>
      </c>
      <c r="M15" s="38"/>
      <c r="N15" s="38"/>
      <c r="O15" s="40"/>
      <c r="P15" s="40"/>
      <c r="Q15" s="25"/>
      <c r="R15" s="25"/>
      <c r="S15" s="28"/>
      <c r="T15" s="28"/>
      <c r="U15" s="15"/>
      <c r="V15" s="15"/>
      <c r="W15" s="16"/>
      <c r="X15" s="16"/>
      <c r="Y15" s="16"/>
      <c r="Z15" s="16"/>
      <c r="AA15" s="16">
        <f>538/538*3/3*137946</f>
        <v>137946</v>
      </c>
      <c r="AB15" s="16"/>
      <c r="AC15" s="16"/>
      <c r="AD15" s="16"/>
      <c r="AE15" s="16"/>
      <c r="AF15" s="16"/>
      <c r="AG15" s="86">
        <f t="shared" si="2"/>
        <v>137946</v>
      </c>
      <c r="AH15" s="64">
        <f>L15-AG15</f>
        <v>-137946</v>
      </c>
    </row>
    <row r="16" spans="1:34" s="65" customFormat="1" ht="12.75">
      <c r="A16" s="2" t="s">
        <v>63</v>
      </c>
      <c r="B16" s="10"/>
      <c r="C16" s="21"/>
      <c r="D16" s="21"/>
      <c r="E16" s="21"/>
      <c r="F16" s="21"/>
      <c r="G16" s="21"/>
      <c r="H16" s="21"/>
      <c r="I16" s="21"/>
      <c r="J16" s="21"/>
      <c r="K16" s="21"/>
      <c r="L16" s="85">
        <f>SUM(B16:K16)</f>
        <v>0</v>
      </c>
      <c r="M16" s="38"/>
      <c r="N16" s="38"/>
      <c r="O16" s="40"/>
      <c r="P16" s="40"/>
      <c r="Q16" s="25"/>
      <c r="R16" s="25"/>
      <c r="S16" s="28"/>
      <c r="T16" s="28"/>
      <c r="U16" s="15"/>
      <c r="V16" s="15"/>
      <c r="W16" s="16"/>
      <c r="X16" s="16"/>
      <c r="Y16" s="16"/>
      <c r="Z16" s="16"/>
      <c r="AA16" s="16">
        <f>538/538*3/3*87453</f>
        <v>87453</v>
      </c>
      <c r="AB16" s="16"/>
      <c r="AC16" s="16"/>
      <c r="AD16" s="16"/>
      <c r="AE16" s="16"/>
      <c r="AF16" s="16"/>
      <c r="AG16" s="86">
        <f t="shared" si="2"/>
        <v>87453</v>
      </c>
      <c r="AH16" s="64">
        <f>L16-AG16</f>
        <v>-87453</v>
      </c>
    </row>
    <row r="17" spans="1:34" s="65" customFormat="1" ht="12.75">
      <c r="A17" s="2" t="s">
        <v>120</v>
      </c>
      <c r="B17" s="10"/>
      <c r="C17" s="21"/>
      <c r="D17" s="21"/>
      <c r="E17" s="21"/>
      <c r="F17" s="21"/>
      <c r="G17" s="21"/>
      <c r="H17" s="21"/>
      <c r="I17" s="21"/>
      <c r="J17" s="21"/>
      <c r="K17" s="21"/>
      <c r="L17" s="85">
        <f t="shared" si="1"/>
        <v>0</v>
      </c>
      <c r="M17" s="38"/>
      <c r="N17" s="38"/>
      <c r="O17" s="40"/>
      <c r="P17" s="40"/>
      <c r="Q17" s="25">
        <f>7/7*35+954/954*10/10*698</f>
        <v>733</v>
      </c>
      <c r="R17" s="25"/>
      <c r="S17" s="29">
        <f>7/7*130/130*6165*0*8/8+10/10*741600/741600*6399*(0+12/12)+751600/751600*12/12*300</f>
        <v>6699</v>
      </c>
      <c r="T17" s="32"/>
      <c r="U17" s="29">
        <f>6/6*5532*61/61+7/7*41/41*(552.2*0+11/11*2003.2*0+12/12*10659.6)+11/11*954/954*51/51*8580+75/75*12/12*1515.6+7475/7475*12/12*14040/2*2</f>
        <v>40327.2</v>
      </c>
      <c r="V17" s="29"/>
      <c r="W17" s="32">
        <f>75/75*12/12*4800</f>
        <v>4800</v>
      </c>
      <c r="X17" s="32"/>
      <c r="Y17" s="32"/>
      <c r="Z17" s="32"/>
      <c r="AA17" s="32"/>
      <c r="AB17" s="32"/>
      <c r="AC17" s="32"/>
      <c r="AD17" s="32"/>
      <c r="AE17" s="32"/>
      <c r="AF17" s="32">
        <f>7570.2+9278+8656.4+6315.6-1451*0+(14340+6399)-SUM(Q17:AE17)</f>
        <v>0</v>
      </c>
      <c r="AG17" s="86">
        <f>SUM(Q17:AF17)-(74/74*(6119.2*0+7570.2)+1600/1600*6165)*0</f>
        <v>52559.2</v>
      </c>
      <c r="AH17" s="64">
        <f t="shared" si="0"/>
        <v>-52559.2</v>
      </c>
    </row>
    <row r="18" spans="1:34" s="65" customFormat="1" ht="12.75">
      <c r="A18" s="14" t="s">
        <v>50</v>
      </c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85">
        <f>SUM(B18:K18)</f>
        <v>0</v>
      </c>
      <c r="M18" s="38"/>
      <c r="N18" s="38"/>
      <c r="O18" s="40"/>
      <c r="P18" s="40"/>
      <c r="Q18" s="25">
        <f>1063/1063*7/7*1600+7/7*10611062/10611062*130/2*2+10611063/10611063*(1200*0+11/11*1270)/2*2</f>
        <v>3000</v>
      </c>
      <c r="R18" s="25"/>
      <c r="S18" s="28"/>
      <c r="T18" s="28"/>
      <c r="U18" s="29">
        <f>1063/1063*(4673*0+4/4*5374.8*0+7/7*41/41*20905.7*0+12/12*26008.6)+3/3*1061/1061*(4424*0+11/11*5645+12/12*14066)+10611063/10611063*576/2*2+1062/1062*12/12*1331+12/12*106162/106162*1008/2*2</f>
        <v>48634.6</v>
      </c>
      <c r="V18" s="29"/>
      <c r="W18" s="32"/>
      <c r="X18" s="32"/>
      <c r="Y18" s="32"/>
      <c r="Z18" s="32"/>
      <c r="AA18" s="32"/>
      <c r="AB18" s="32"/>
      <c r="AC18" s="32"/>
      <c r="AD18" s="32"/>
      <c r="AE18" s="32"/>
      <c r="AF18" s="32">
        <f>(4424*0+5645)+22505.7+130/2*2+(1776*0+1846)/2*2+21507.9-SUM(Q18:AE18)</f>
        <v>0</v>
      </c>
      <c r="AG18" s="86">
        <f>SUM(Q18:AF18)-(1061/1061*4424+1063/1063*22505.7+10611062/10611062*130)*0</f>
        <v>51634.6</v>
      </c>
      <c r="AH18" s="64">
        <f t="shared" si="0"/>
        <v>-51634.6</v>
      </c>
    </row>
    <row r="19" spans="1:34" s="65" customFormat="1" ht="12" customHeight="1">
      <c r="A19" s="20" t="s">
        <v>51</v>
      </c>
      <c r="B19" s="51"/>
      <c r="C19" s="25"/>
      <c r="D19" s="25"/>
      <c r="E19" s="25"/>
      <c r="F19" s="25"/>
      <c r="G19" s="25"/>
      <c r="H19" s="25"/>
      <c r="I19" s="25"/>
      <c r="J19" s="25"/>
      <c r="K19" s="25"/>
      <c r="L19" s="85">
        <f>SUM(B19:K19)</f>
        <v>0</v>
      </c>
      <c r="M19" s="38"/>
      <c r="N19" s="38"/>
      <c r="O19" s="40"/>
      <c r="P19" s="40"/>
      <c r="Q19" s="15">
        <f>7/7*1065/1065*8293+1066/1066*11/11*35</f>
        <v>8328</v>
      </c>
      <c r="R19" s="15"/>
      <c r="S19" s="29">
        <f>7/7*1066/1066*492*0*12/12+12/12*10661600/10661600*1457</f>
        <v>1457</v>
      </c>
      <c r="T19" s="32"/>
      <c r="U19" s="29">
        <f>3/3*1066/1066*(41/41*3102*0+7/7*5282.2+11/11*61/61*195974*0*12/12+62/62*528)+1067/1067*(7/7*2616.9*0+12/12*5190.9+11/11*1296)+1068/1068*1938.2*0+12/12*2866.6+12/12*(1065/1065*730.4+10651066/10651066*700.8/2*2+10671070/10671070*781.2/2)</f>
        <v>16985.5</v>
      </c>
      <c r="V19" s="29"/>
      <c r="W19" s="32"/>
      <c r="X19" s="32"/>
      <c r="Y19" s="32"/>
      <c r="Z19" s="32"/>
      <c r="AA19" s="32"/>
      <c r="AB19" s="32"/>
      <c r="AC19" s="32"/>
      <c r="AD19" s="32"/>
      <c r="AE19" s="32"/>
      <c r="AF19" s="32">
        <f>8293+201819.2+3912.9+1938.2+492-192233.2+2548.4-SUM(Q19:AE19)</f>
        <v>0</v>
      </c>
      <c r="AG19" s="86">
        <f>SUM(Q19:AF19)-(1065/1065*8293+1066/1066*5810.2+1067/1067*2616.9+492)*0</f>
        <v>26770.5</v>
      </c>
      <c r="AH19" s="64">
        <f t="shared" si="0"/>
        <v>-26770.5</v>
      </c>
    </row>
    <row r="20" spans="1:34" s="65" customFormat="1" ht="12.75">
      <c r="A20" s="2" t="s">
        <v>121</v>
      </c>
      <c r="B20" s="10"/>
      <c r="C20" s="21"/>
      <c r="D20" s="21"/>
      <c r="E20" s="21"/>
      <c r="F20" s="21"/>
      <c r="G20" s="21"/>
      <c r="H20" s="21"/>
      <c r="I20" s="21"/>
      <c r="J20" s="21"/>
      <c r="K20" s="21"/>
      <c r="L20" s="85">
        <f t="shared" si="1"/>
        <v>0</v>
      </c>
      <c r="M20" s="38"/>
      <c r="N20" s="38"/>
      <c r="O20" s="40"/>
      <c r="P20" s="40"/>
      <c r="Q20" s="25">
        <f>1071/1071*7/7*385</f>
        <v>385</v>
      </c>
      <c r="R20" s="25"/>
      <c r="S20" s="28"/>
      <c r="T20" s="28"/>
      <c r="U20" s="29">
        <f>1071/1071*(1352*0+3/3*1935*41/41*0+12/12*4091+61/61*7571.3+1188)+(7/7*1069/1069*(2734.6*0+8/8*(152474.6*0+11/11*155202.6*0+12/12*162840.5+3619+493.2))+11/11*10721073/10721073*56028+12/12*(1070/1070*1298+10671070/10671070*781.2/2))</f>
        <v>237519.6</v>
      </c>
      <c r="V20" s="29"/>
      <c r="W20" s="32"/>
      <c r="X20" s="32"/>
      <c r="Y20" s="32"/>
      <c r="Z20" s="32"/>
      <c r="AA20" s="32"/>
      <c r="AB20" s="32"/>
      <c r="AC20" s="32"/>
      <c r="AD20" s="32"/>
      <c r="AE20" s="32"/>
      <c r="AF20" s="32">
        <f>155202.6+11079.3+56028+15204.1+390.6-SUM(Q20:AE20)</f>
        <v>0</v>
      </c>
      <c r="AG20" s="86">
        <f>SUM(Q20:AF20)-(1069/1069*2734.6+1071/1071*9891.3)*0</f>
        <v>237904.6</v>
      </c>
      <c r="AH20" s="64">
        <f t="shared" si="0"/>
        <v>-237904.6</v>
      </c>
    </row>
    <row r="21" spans="1:34" s="65" customFormat="1" ht="12.75">
      <c r="A21" s="2" t="s">
        <v>52</v>
      </c>
      <c r="B21" s="10"/>
      <c r="C21" s="21"/>
      <c r="D21" s="21"/>
      <c r="E21" s="21"/>
      <c r="F21" s="21"/>
      <c r="G21" s="21"/>
      <c r="H21" s="21"/>
      <c r="I21" s="21"/>
      <c r="J21" s="21"/>
      <c r="K21" s="21"/>
      <c r="L21" s="85">
        <f t="shared" si="1"/>
        <v>0</v>
      </c>
      <c r="M21" s="38"/>
      <c r="N21" s="38"/>
      <c r="O21" s="40"/>
      <c r="P21" s="40"/>
      <c r="Q21" s="25">
        <f>107475/107475*57</f>
        <v>57</v>
      </c>
      <c r="R21" s="25"/>
      <c r="S21" s="29">
        <f>10751600/10751600*(4/4*377*0+5/5*1177/2*0+7/7*2201)</f>
        <v>2201</v>
      </c>
      <c r="T21" s="32"/>
      <c r="U21" s="29">
        <f>1075/1075*(31/31*2500+3/3*(41/41*1661*0+7/7*(2827)*0+12/12*3518.9+61/61*16351+11/11*3003.9)+3/3*1074/1074*(1661*0+4/4*(41/41*2640*0+7/7*4018.3*0+12/12*6661.6+62/62*528)))</f>
        <v>32563.4</v>
      </c>
      <c r="V21" s="29"/>
      <c r="W21" s="32">
        <f>1075/1075*2015</f>
        <v>2015</v>
      </c>
      <c r="X21" s="32"/>
      <c r="Y21" s="32"/>
      <c r="Z21" s="32"/>
      <c r="AA21" s="32"/>
      <c r="AB21" s="32"/>
      <c r="AC21" s="32"/>
      <c r="AD21" s="32"/>
      <c r="AE21" s="32"/>
      <c r="AF21" s="32">
        <f>4546.3+26696.9+2201+3392.2-SUM(Q21:AE21)</f>
        <v>0</v>
      </c>
      <c r="AG21" s="86">
        <f>SUM(Q21:AF21)-(1074/1074*4546.3+1075/1075*23693+10751600/10751600*2201)*0</f>
        <v>36836.4</v>
      </c>
      <c r="AH21" s="64">
        <f t="shared" si="0"/>
        <v>-36836.4</v>
      </c>
    </row>
    <row r="22" spans="1:34" s="65" customFormat="1" ht="12.75">
      <c r="A22" s="2" t="s">
        <v>69</v>
      </c>
      <c r="B22" s="10"/>
      <c r="C22" s="21"/>
      <c r="D22" s="21"/>
      <c r="E22" s="21"/>
      <c r="F22" s="21"/>
      <c r="G22" s="21"/>
      <c r="H22" s="21"/>
      <c r="I22" s="21"/>
      <c r="J22" s="21"/>
      <c r="K22" s="21"/>
      <c r="L22" s="85">
        <f t="shared" si="1"/>
        <v>0</v>
      </c>
      <c r="M22" s="38"/>
      <c r="N22" s="38"/>
      <c r="O22" s="40"/>
      <c r="P22" s="40"/>
      <c r="Q22" s="25">
        <f>10781079/10781079*8/8*120/2*2</f>
        <v>120</v>
      </c>
      <c r="R22" s="25"/>
      <c r="S22" s="29">
        <f>7/7*153+11/11*2349</f>
        <v>2502</v>
      </c>
      <c r="T22" s="32"/>
      <c r="U22" s="29">
        <f>10781079/10781079*(8549+12/12*1984.4)/2*2+7/7*1079/1079*(31/31*12667+41/41*(3041.5*0+11/11*13980.5)+61/61*12/12*136387)+11/11*1078/1078*(1848+146883)</f>
        <v>322298.9</v>
      </c>
      <c r="V22" s="29"/>
      <c r="W22" s="31">
        <f>11/11*8000</f>
        <v>8000</v>
      </c>
      <c r="X22" s="32"/>
      <c r="Y22" s="32"/>
      <c r="Z22" s="32"/>
      <c r="AA22" s="32"/>
      <c r="AB22" s="32"/>
      <c r="AC22" s="32"/>
      <c r="AD22" s="32"/>
      <c r="AE22" s="32"/>
      <c r="AF22" s="32">
        <f>147036+26647.5+8669+2349+8000+140219.4-SUM(Q22:AE22)</f>
        <v>0</v>
      </c>
      <c r="AG22" s="86">
        <f>SUM(Q22:AF22)-(1078/1078*153+1079/1079*15708.5+10781079/10781079*8549)*0</f>
        <v>332920.9</v>
      </c>
      <c r="AH22" s="64">
        <f t="shared" si="0"/>
        <v>-332920.9</v>
      </c>
    </row>
    <row r="23" spans="1:34" s="65" customFormat="1" ht="12.75">
      <c r="A23" s="2" t="s">
        <v>53</v>
      </c>
      <c r="B23" s="10"/>
      <c r="C23" s="21"/>
      <c r="D23" s="21"/>
      <c r="E23" s="21"/>
      <c r="F23" s="21"/>
      <c r="G23" s="21"/>
      <c r="H23" s="21"/>
      <c r="I23" s="21"/>
      <c r="J23" s="21"/>
      <c r="K23" s="21"/>
      <c r="L23" s="85">
        <f t="shared" si="1"/>
        <v>0</v>
      </c>
      <c r="M23" s="38"/>
      <c r="N23" s="38"/>
      <c r="O23" s="40"/>
      <c r="P23" s="40"/>
      <c r="Q23" s="25">
        <f>11/11*1082/1082*337</f>
        <v>337</v>
      </c>
      <c r="R23" s="25"/>
      <c r="S23" s="29">
        <f>1082/1082*7/7*1385+10801600/10801600*12/12*420+10821600/10821600*1260</f>
        <v>3065</v>
      </c>
      <c r="T23" s="32"/>
      <c r="U23" s="29">
        <f>1080/1080*(286*0+7/7*8075.1*0+12/12*9301.5)+1081/1081*8863+3/3*1082/1082*(2012*0+11/11*3382.8*0+12/12*4408)</f>
        <v>22572.5</v>
      </c>
      <c r="V23" s="29"/>
      <c r="W23" s="32"/>
      <c r="X23" s="32"/>
      <c r="Y23" s="32"/>
      <c r="Z23" s="32"/>
      <c r="AA23" s="32"/>
      <c r="AB23" s="32"/>
      <c r="AC23" s="32"/>
      <c r="AD23" s="32"/>
      <c r="AE23" s="32"/>
      <c r="AF23" s="32">
        <f>8075.1+8863+5104.8+3931.6-SUM(Q23:AE23)</f>
        <v>0</v>
      </c>
      <c r="AG23" s="86">
        <f>SUM(Q23:AF23)-(1080/1080*8075.1+1081/1081*8863+1082/1082*3397)*0</f>
        <v>25974.5</v>
      </c>
      <c r="AH23" s="64">
        <f t="shared" si="0"/>
        <v>-25974.5</v>
      </c>
    </row>
    <row r="24" spans="1:34" s="65" customFormat="1" ht="12.75" customHeight="1">
      <c r="A24" s="2" t="s">
        <v>31</v>
      </c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85">
        <f t="shared" si="1"/>
        <v>0</v>
      </c>
      <c r="M24" s="38"/>
      <c r="N24" s="38"/>
      <c r="O24" s="66">
        <f>123/123*((17062/2+39809))+456/456*((10864/2+25348+1420/2))-X24</f>
        <v>29508.5</v>
      </c>
      <c r="P24" s="66">
        <f>123/123*(((1534/2+3584))+((4264/2+9952)))+456/456*(((978/2+2282+128/2))+((2714/2+6338+357/2-0.5)))-Y24</f>
        <v>10027.5</v>
      </c>
      <c r="Q24" s="25">
        <f>30229*0+7/7*30954*0+94565*0+12/12*104333</f>
        <v>104333</v>
      </c>
      <c r="R24" s="25"/>
      <c r="S24" s="28">
        <f>12/12*11001600/11001600*140</f>
        <v>140</v>
      </c>
      <c r="T24" s="28"/>
      <c r="U24" s="29">
        <f>3/3*61/61*(30996*0+7/7*41893)+4/4*31/31*10243*0+12/12*25618.6+7/7*41/41*(13016.4*0+11/11*(13688.4*0+12/12*21408+51/51*75725))+9/9*130/130*17086.8+10/10*62/62*1070</f>
        <v>182801.4</v>
      </c>
      <c r="V24" s="29"/>
      <c r="W24" s="32">
        <f>11/11*4722*0+12/12*5316</f>
        <v>5316</v>
      </c>
      <c r="X24" s="32">
        <f>4/4*39809*0+8/8*45951*0+11/11*48284*0+12/12*50321.5</f>
        <v>50321.5</v>
      </c>
      <c r="Y24" s="32">
        <f>4/4*13536*0+8/8*15624*0+11/11*16416*0+12/12*17115.5</f>
        <v>17115.5</v>
      </c>
      <c r="Z24" s="32"/>
      <c r="AA24" s="32"/>
      <c r="AB24" s="32"/>
      <c r="AC24" s="32"/>
      <c r="AD24" s="32"/>
      <c r="AE24" s="32"/>
      <c r="AF24" s="26">
        <f>238379.2*0+10/10*239449.2*0+11/11*323693.2+36194.2+140-SUM(Q24:AE24)</f>
        <v>0</v>
      </c>
      <c r="AG24" s="86">
        <f>SUM(Q24:AF24)</f>
        <v>360027.4</v>
      </c>
      <c r="AH24" s="64">
        <f t="shared" si="0"/>
        <v>-360027.4</v>
      </c>
    </row>
    <row r="25" spans="1:34" s="65" customFormat="1" ht="12.75">
      <c r="A25" s="2" t="s">
        <v>54</v>
      </c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85">
        <f t="shared" si="1"/>
        <v>0</v>
      </c>
      <c r="M25" s="38"/>
      <c r="N25" s="38"/>
      <c r="O25" s="40"/>
      <c r="P25" s="40"/>
      <c r="Q25" s="25"/>
      <c r="R25" s="2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85">
        <f>SUM(Q25:AF25)</f>
        <v>0</v>
      </c>
      <c r="AH25" s="64">
        <f t="shared" si="0"/>
        <v>0</v>
      </c>
    </row>
    <row r="26" spans="1:34" s="65" customFormat="1" ht="12.75">
      <c r="A26" s="2" t="s">
        <v>122</v>
      </c>
      <c r="B26" s="10"/>
      <c r="C26" s="21"/>
      <c r="D26" s="21"/>
      <c r="E26" s="21"/>
      <c r="F26" s="21"/>
      <c r="G26" s="21"/>
      <c r="H26" s="21"/>
      <c r="I26" s="21"/>
      <c r="J26" s="21"/>
      <c r="K26" s="21"/>
      <c r="L26" s="85">
        <f t="shared" si="1"/>
        <v>0</v>
      </c>
      <c r="M26" s="38"/>
      <c r="N26" s="38"/>
      <c r="O26" s="40"/>
      <c r="P26" s="40"/>
      <c r="Q26" s="25"/>
      <c r="R26" s="25"/>
      <c r="S26" s="28"/>
      <c r="T26" s="28"/>
      <c r="U26" s="29">
        <f>1251/1251*(41/41*1593+7/7*31/31*(1540*0+8/8*4751))+1367/1367*4/4*941.6+1368/1368*12/12*3662.4</f>
        <v>10948</v>
      </c>
      <c r="V26" s="29"/>
      <c r="W26" s="32"/>
      <c r="X26" s="32"/>
      <c r="Y26" s="32"/>
      <c r="Z26" s="32"/>
      <c r="AA26" s="32"/>
      <c r="AB26" s="32"/>
      <c r="AC26" s="32"/>
      <c r="AD26" s="32"/>
      <c r="AE26" s="32"/>
      <c r="AF26" s="32">
        <f>6344+941.6+3662.4-SUM(Q26:AE26)</f>
        <v>0</v>
      </c>
      <c r="AG26" s="85">
        <f>SUM(Q26:AF26)-(1251/1251*3133+1367/1367*941.6)*0</f>
        <v>10948</v>
      </c>
      <c r="AH26" s="64">
        <f t="shared" si="0"/>
        <v>-10948</v>
      </c>
    </row>
    <row r="27" spans="1:34" s="65" customFormat="1" ht="12.75" customHeight="1" hidden="1">
      <c r="A27" s="2" t="s">
        <v>32</v>
      </c>
      <c r="B27" s="10"/>
      <c r="C27" s="21"/>
      <c r="D27" s="21"/>
      <c r="E27" s="21"/>
      <c r="F27" s="21"/>
      <c r="G27" s="21"/>
      <c r="H27" s="21"/>
      <c r="I27" s="21"/>
      <c r="J27" s="21"/>
      <c r="K27" s="21"/>
      <c r="L27" s="85">
        <f t="shared" si="1"/>
        <v>0</v>
      </c>
      <c r="M27" s="38"/>
      <c r="N27" s="38"/>
      <c r="O27" s="40"/>
      <c r="P27" s="40"/>
      <c r="Q27" s="25"/>
      <c r="R27" s="25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85">
        <f>SUM(Q27:AF27)</f>
        <v>0</v>
      </c>
      <c r="AH27" s="64">
        <f t="shared" si="0"/>
        <v>0</v>
      </c>
    </row>
    <row r="28" spans="1:34" s="65" customFormat="1" ht="12.75" customHeight="1" hidden="1">
      <c r="A28" s="2" t="s">
        <v>38</v>
      </c>
      <c r="B28" s="10"/>
      <c r="C28" s="21"/>
      <c r="D28" s="21"/>
      <c r="E28" s="21"/>
      <c r="F28" s="21"/>
      <c r="G28" s="21"/>
      <c r="H28" s="21"/>
      <c r="I28" s="21"/>
      <c r="J28" s="21"/>
      <c r="K28" s="21"/>
      <c r="L28" s="85">
        <f t="shared" si="1"/>
        <v>0</v>
      </c>
      <c r="M28" s="38"/>
      <c r="N28" s="38"/>
      <c r="O28" s="40"/>
      <c r="P28" s="40"/>
      <c r="Q28" s="25"/>
      <c r="R28" s="2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85">
        <f>SUM(Q28:AF28)</f>
        <v>0</v>
      </c>
      <c r="AH28" s="64">
        <f t="shared" si="0"/>
        <v>0</v>
      </c>
    </row>
    <row r="29" spans="1:34" s="65" customFormat="1" ht="12.75" customHeight="1" hidden="1">
      <c r="A29" s="2" t="s">
        <v>46</v>
      </c>
      <c r="B29" s="10"/>
      <c r="C29" s="21"/>
      <c r="D29" s="21"/>
      <c r="E29" s="21"/>
      <c r="F29" s="21"/>
      <c r="G29" s="21"/>
      <c r="H29" s="21"/>
      <c r="I29" s="21"/>
      <c r="J29" s="21"/>
      <c r="K29" s="21"/>
      <c r="L29" s="85">
        <f t="shared" si="1"/>
        <v>0</v>
      </c>
      <c r="M29" s="38"/>
      <c r="N29" s="38"/>
      <c r="O29" s="40"/>
      <c r="P29" s="40"/>
      <c r="Q29" s="25"/>
      <c r="R29" s="2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85">
        <f>SUM(Q29:AF29)</f>
        <v>0</v>
      </c>
      <c r="AH29" s="64">
        <f t="shared" si="0"/>
        <v>0</v>
      </c>
    </row>
    <row r="30" spans="1:34" s="65" customFormat="1" ht="12" customHeight="1">
      <c r="A30" s="2" t="s">
        <v>37</v>
      </c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85">
        <f t="shared" si="1"/>
        <v>0</v>
      </c>
      <c r="M30" s="38"/>
      <c r="N30" s="38"/>
      <c r="O30" s="40"/>
      <c r="P30" s="40"/>
      <c r="Q30" s="25"/>
      <c r="R30" s="25"/>
      <c r="S30" s="29">
        <f>3/3*15171600/15171600*204+1517/1517*7/7*297</f>
        <v>501</v>
      </c>
      <c r="T30" s="32"/>
      <c r="U30" s="29">
        <f>(43475*0+4/4*44274.7*0+7/7*65451.9*0+11/11*67134.9*0+12/12*69424)+15171522/15171522*63767/2</f>
        <v>101307.5</v>
      </c>
      <c r="V30" s="29"/>
      <c r="W30" s="32">
        <f>6654+15171522/15171522*6/6*24600/2</f>
        <v>18954</v>
      </c>
      <c r="X30" s="32"/>
      <c r="Y30" s="32"/>
      <c r="Z30" s="32"/>
      <c r="AA30" s="32"/>
      <c r="AB30" s="32"/>
      <c r="AC30" s="32"/>
      <c r="AD30" s="32"/>
      <c r="AE30" s="32"/>
      <c r="AF30" s="26">
        <f>74085.9+88367+204+(205799.1+10/10*95985)*0+11/11*308769.1+(2289.1+26614.5)-SUM(Q30:AE30,Q32:AE32)</f>
        <v>0</v>
      </c>
      <c r="AG30" s="85">
        <f>SUM(Q30:AF30)-(15171600/15171600*204/2*2+1517/1517*72402.9+15171522/15171522*88367/2)*0</f>
        <v>120762.5</v>
      </c>
      <c r="AH30" s="64">
        <f t="shared" si="0"/>
        <v>-120762.5</v>
      </c>
    </row>
    <row r="31" spans="1:34" s="65" customFormat="1" ht="12.75">
      <c r="A31" s="3" t="s">
        <v>102</v>
      </c>
      <c r="B31" s="10"/>
      <c r="C31" s="21"/>
      <c r="D31" s="43">
        <f>1517/1517*17500*0+3/3*26250*0+4/4*35291.66*0+5/5*44041.66*0+6/6*52083.32*0+7/7*60124.98*0+8/8*68166.64*0+9/9*76208.3*0+10/10*84249.96*0+11/11*92583.29*0+12/12*100208.29</f>
        <v>100208.29</v>
      </c>
      <c r="E31" s="31"/>
      <c r="F31" s="31"/>
      <c r="G31" s="31"/>
      <c r="H31" s="31"/>
      <c r="I31" s="31"/>
      <c r="J31" s="31"/>
      <c r="K31" s="31"/>
      <c r="L31" s="85">
        <f>SUM(B31:K31)</f>
        <v>100208.29</v>
      </c>
      <c r="M31" s="38"/>
      <c r="N31" s="38"/>
      <c r="O31" s="40"/>
      <c r="P31" s="40"/>
      <c r="Q31" s="28">
        <f>45201517/45201517*4/4*1715.83</f>
        <v>1715.83</v>
      </c>
      <c r="R31" s="28"/>
      <c r="S31" s="28"/>
      <c r="T31" s="28"/>
      <c r="U31" s="28"/>
      <c r="V31" s="28"/>
      <c r="W31" s="28">
        <f>45201517/45201517*(990*0+3/3*1486.26*0+4/4*1981.26*0+5/5*2476.26*0+6/6*2976.3*0+7/7*3475.66*0+8/8*3990.48*0+9/9*4485.48*0+10/10*4980.48*0+11/11*5475.48*0+12/12*6942.57)</f>
        <v>6942.57</v>
      </c>
      <c r="X31" s="28"/>
      <c r="Y31" s="28"/>
      <c r="Z31" s="28"/>
      <c r="AA31" s="28"/>
      <c r="AB31" s="28"/>
      <c r="AC31" s="28"/>
      <c r="AD31" s="28"/>
      <c r="AE31" s="28"/>
      <c r="AF31" s="28"/>
      <c r="AG31" s="85">
        <f>SUM(Q31:AF31)</f>
        <v>8658.4</v>
      </c>
      <c r="AH31" s="64">
        <f t="shared" si="0"/>
        <v>91549.89</v>
      </c>
    </row>
    <row r="32" spans="1:34" s="65" customFormat="1" ht="12" customHeight="1">
      <c r="A32" s="2" t="s">
        <v>30</v>
      </c>
      <c r="B32" s="10"/>
      <c r="C32" s="21"/>
      <c r="D32" s="21"/>
      <c r="E32" s="21"/>
      <c r="F32" s="21"/>
      <c r="G32" s="21"/>
      <c r="H32" s="21"/>
      <c r="I32" s="21">
        <f>8914</f>
        <v>8914</v>
      </c>
      <c r="J32" s="21"/>
      <c r="K32" s="21"/>
      <c r="L32" s="85">
        <f t="shared" si="1"/>
        <v>8914</v>
      </c>
      <c r="M32" s="38"/>
      <c r="N32" s="38"/>
      <c r="O32" s="40"/>
      <c r="P32" s="40"/>
      <c r="Q32" s="28"/>
      <c r="R32" s="28"/>
      <c r="S32" s="28"/>
      <c r="T32" s="28"/>
      <c r="U32" s="29">
        <f>8004*0+3/3*(41/41*131469*0+4/4*162190.9*0+7/7*(169036.3*0+11/11*176021.3*0+12/12*176942+31/31*13669+61/61*(5456*0+7/7*11875.8*0+10/10*107470.8*0+12/12*133164.6)))+15171522/15171522*63767/2</f>
        <v>355659.1</v>
      </c>
      <c r="V32" s="29"/>
      <c r="W32" s="32">
        <f>(11218*0+10/10*11608)+15171522/15171522*7/7*24600/2</f>
        <v>23908</v>
      </c>
      <c r="X32" s="32"/>
      <c r="Y32" s="32"/>
      <c r="Z32" s="32"/>
      <c r="AA32" s="32"/>
      <c r="AB32" s="32"/>
      <c r="AC32" s="32"/>
      <c r="AD32" s="32"/>
      <c r="AE32" s="32"/>
      <c r="AF32" s="32"/>
      <c r="AG32" s="85">
        <f>SUM(Q32:AF32)-(1522/1522*205799.1+15171522/15171522*88367/2)*0</f>
        <v>379567.1</v>
      </c>
      <c r="AH32" s="64">
        <f t="shared" si="0"/>
        <v>-370653.1</v>
      </c>
    </row>
    <row r="33" spans="1:34" s="65" customFormat="1" ht="12.75">
      <c r="A33" s="2" t="s">
        <v>71</v>
      </c>
      <c r="B33" s="10"/>
      <c r="C33" s="21"/>
      <c r="D33" s="43">
        <f>14000*0+3/3*21000*0+4/4*28000+5/5*7000+6/6*7000+7/7*7000+(8/8+9/9+10/10+11/11)*7500+12/12*8000</f>
        <v>87000</v>
      </c>
      <c r="E33" s="31"/>
      <c r="F33" s="31"/>
      <c r="G33" s="31"/>
      <c r="H33" s="31"/>
      <c r="I33" s="31"/>
      <c r="J33" s="31"/>
      <c r="K33" s="31"/>
      <c r="L33" s="85">
        <f>SUM(B33:K33)</f>
        <v>87000</v>
      </c>
      <c r="M33" s="38"/>
      <c r="N33" s="38"/>
      <c r="O33" s="66">
        <f>123/123*(84147+60979+4500+61333+(17062/2+39809)*0)+456/456*(84456+61139+4500+59227+(10864/2+25348)*0)-X33</f>
        <v>-457864</v>
      </c>
      <c r="P33" s="66">
        <f>123/123*((7578+5494+0+5524+(1534/2+3584)*0)+(21033+15242+0+15333+(4264/2+9952)*0))+456/456*((7602+5506+0+5332+(978/2+2282)*0)+(21105+15282+0+14806+(2714/2+6338)*0))-Y33</f>
        <v>-151694</v>
      </c>
      <c r="Q33" s="28"/>
      <c r="R33" s="28"/>
      <c r="S33" s="29">
        <f>3/3*1600/1600*246+10751600/10751600*(5/5*1177/2+6/6*(2201-1177))*0+6/6*15171600/15171600*5/5*204/2*0</f>
        <v>246</v>
      </c>
      <c r="T33" s="32"/>
      <c r="U33" s="29">
        <f>26000+7/7*31/31*3030+(9/9*665.01+11/11*1330*0*518/518)*0+12/12*3325.01</f>
        <v>32355.010000000002</v>
      </c>
      <c r="V33" s="29"/>
      <c r="W33" s="32">
        <f>7/7*600+12/12*1330</f>
        <v>1930</v>
      </c>
      <c r="X33" s="32">
        <f>4/4*210959*0+8/8*445629*0+11/11*669838*0+12/12*878145</f>
        <v>878145</v>
      </c>
      <c r="Y33" s="32">
        <f>4/4*70204*0+8/8*148457*0+11/11*221330*0+12/12*291531</f>
        <v>291531</v>
      </c>
      <c r="Z33" s="32"/>
      <c r="AA33" s="32"/>
      <c r="AB33" s="32"/>
      <c r="AC33" s="32"/>
      <c r="AD33" s="32"/>
      <c r="AE33" s="32"/>
      <c r="AF33" s="32"/>
      <c r="AG33" s="85">
        <f>SUM(Q33:AF33)-(15171600/15171600*204/2+1600/1600*311039+10751600/10751600)*0</f>
        <v>1204207.01</v>
      </c>
      <c r="AH33" s="64">
        <f t="shared" si="0"/>
        <v>-1117207.01</v>
      </c>
    </row>
    <row r="34" spans="1:34" s="65" customFormat="1" ht="12.75" customHeight="1" hidden="1">
      <c r="A34" s="2" t="s">
        <v>33</v>
      </c>
      <c r="B34" s="10"/>
      <c r="C34" s="21"/>
      <c r="D34" s="21"/>
      <c r="E34" s="21"/>
      <c r="F34" s="21"/>
      <c r="G34" s="21"/>
      <c r="H34" s="21"/>
      <c r="I34" s="21"/>
      <c r="J34" s="21"/>
      <c r="K34" s="21"/>
      <c r="L34" s="85">
        <f t="shared" si="1"/>
        <v>0</v>
      </c>
      <c r="M34" s="38"/>
      <c r="N34" s="38"/>
      <c r="O34" s="40"/>
      <c r="P34" s="40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85">
        <f aca="true" t="shared" si="3" ref="AG34:AG43">SUM(Q34:AF34)</f>
        <v>0</v>
      </c>
      <c r="AH34" s="64">
        <f t="shared" si="0"/>
        <v>0</v>
      </c>
    </row>
    <row r="35" spans="1:34" s="65" customFormat="1" ht="12.75" customHeight="1" hidden="1">
      <c r="A35" s="2" t="s">
        <v>41</v>
      </c>
      <c r="B35" s="10"/>
      <c r="C35" s="21"/>
      <c r="D35" s="21"/>
      <c r="E35" s="21"/>
      <c r="F35" s="21"/>
      <c r="G35" s="21"/>
      <c r="H35" s="21"/>
      <c r="I35" s="21"/>
      <c r="J35" s="21"/>
      <c r="K35" s="21"/>
      <c r="L35" s="85">
        <f t="shared" si="1"/>
        <v>0</v>
      </c>
      <c r="M35" s="38"/>
      <c r="N35" s="38"/>
      <c r="O35" s="40"/>
      <c r="P35" s="40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85">
        <f t="shared" si="3"/>
        <v>0</v>
      </c>
      <c r="AH35" s="64">
        <f t="shared" si="0"/>
        <v>0</v>
      </c>
    </row>
    <row r="36" spans="1:34" s="65" customFormat="1" ht="12.75" customHeight="1" hidden="1">
      <c r="A36" s="2" t="s">
        <v>34</v>
      </c>
      <c r="B36" s="10"/>
      <c r="C36" s="21"/>
      <c r="D36" s="21"/>
      <c r="E36" s="21"/>
      <c r="F36" s="21"/>
      <c r="G36" s="21"/>
      <c r="H36" s="21"/>
      <c r="I36" s="21"/>
      <c r="J36" s="21"/>
      <c r="K36" s="21"/>
      <c r="L36" s="85">
        <f t="shared" si="1"/>
        <v>0</v>
      </c>
      <c r="M36" s="38"/>
      <c r="N36" s="38"/>
      <c r="O36" s="40"/>
      <c r="P36" s="40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85">
        <f t="shared" si="3"/>
        <v>0</v>
      </c>
      <c r="AH36" s="64">
        <f t="shared" si="0"/>
        <v>0</v>
      </c>
    </row>
    <row r="37" spans="1:34" s="65" customFormat="1" ht="12.75" customHeight="1" hidden="1">
      <c r="A37" s="8" t="s">
        <v>45</v>
      </c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85">
        <f t="shared" si="1"/>
        <v>0</v>
      </c>
      <c r="M37" s="38"/>
      <c r="N37" s="38"/>
      <c r="O37" s="40"/>
      <c r="P37" s="40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85">
        <f t="shared" si="3"/>
        <v>0</v>
      </c>
      <c r="AH37" s="64">
        <f t="shared" si="0"/>
        <v>0</v>
      </c>
    </row>
    <row r="38" spans="1:34" s="65" customFormat="1" ht="12.75" customHeight="1">
      <c r="A38" s="8" t="s">
        <v>64</v>
      </c>
      <c r="B38" s="10"/>
      <c r="C38" s="21">
        <f>5/5*11666.19+6/6*3583.18+7/7*2583.23+8/8*2708.22+9/9*4249.82+10/10*1124.95</f>
        <v>25915.590000000004</v>
      </c>
      <c r="D38" s="21"/>
      <c r="E38" s="21"/>
      <c r="F38" s="21"/>
      <c r="G38" s="21"/>
      <c r="H38" s="21"/>
      <c r="I38" s="21"/>
      <c r="J38" s="21"/>
      <c r="K38" s="21"/>
      <c r="L38" s="85">
        <f>SUM(B38:K38)</f>
        <v>25915.590000000004</v>
      </c>
      <c r="M38" s="38"/>
      <c r="N38" s="38"/>
      <c r="O38" s="40"/>
      <c r="P38" s="40"/>
      <c r="Q38" s="28"/>
      <c r="R38" s="28"/>
      <c r="S38" s="28"/>
      <c r="T38" s="28"/>
      <c r="U38" s="28">
        <f>12/12*1100</f>
        <v>1100</v>
      </c>
      <c r="V38" s="28"/>
      <c r="W38" s="28">
        <f>5/5*4025*0+6/6*8625*0+7/7*13225</f>
        <v>13225</v>
      </c>
      <c r="X38" s="28"/>
      <c r="Y38" s="28"/>
      <c r="Z38" s="28"/>
      <c r="AA38" s="28"/>
      <c r="AB38" s="28"/>
      <c r="AC38" s="28"/>
      <c r="AD38" s="28"/>
      <c r="AE38" s="28"/>
      <c r="AF38" s="28"/>
      <c r="AG38" s="85">
        <f t="shared" si="3"/>
        <v>14325</v>
      </c>
      <c r="AH38" s="64">
        <f t="shared" si="0"/>
        <v>11590.590000000004</v>
      </c>
    </row>
    <row r="39" spans="1:34" s="65" customFormat="1" ht="12.75" customHeight="1">
      <c r="A39" s="2" t="s">
        <v>19</v>
      </c>
      <c r="B39" s="10"/>
      <c r="C39" s="21">
        <f>83272.73*0+3/3*127321.82*0+4/4*149688.18*0+5/5*184125.45*0+6/6*219380.9*0+9/9*405159.08*0+10/10*504329*0+11/11*591856.35*0+12/12*700714.53</f>
        <v>700714.53</v>
      </c>
      <c r="D39" s="43">
        <f>6/6*3166.54*0+12/12*5666.54</f>
        <v>5666.54</v>
      </c>
      <c r="E39" s="31">
        <f>3/3*1500*0+6/6*2790.91*0+10/10*5245.46*0+12/12*9236.37</f>
        <v>9236.37</v>
      </c>
      <c r="F39" s="31"/>
      <c r="G39" s="31"/>
      <c r="H39" s="31"/>
      <c r="I39" s="31"/>
      <c r="J39" s="31"/>
      <c r="K39" s="31"/>
      <c r="L39" s="85">
        <f t="shared" si="1"/>
        <v>715617.4400000001</v>
      </c>
      <c r="M39" s="38"/>
      <c r="N39" s="38"/>
      <c r="O39" s="40">
        <f>76069+75382-X39</f>
        <v>-252134</v>
      </c>
      <c r="P39" s="40">
        <f>25863+25631-Y39</f>
        <v>-78117</v>
      </c>
      <c r="Q39" s="28"/>
      <c r="R39" s="28"/>
      <c r="S39" s="28"/>
      <c r="T39" s="28"/>
      <c r="U39" s="28"/>
      <c r="V39" s="28"/>
      <c r="W39" s="28">
        <f>43831.01*0+3/3*68929.11*0+4/4*87264.89*0+5/5*111513.57*0+6/6*135569.09*0+7/7*138146.4*0+8/8*144360.73*0+9/9*194476.4*0+10/10*252844.04*0+11/11*336808.36*0+12/12*429966.37</f>
        <v>429966.37</v>
      </c>
      <c r="X39" s="28">
        <f>4/4*76069*0+8/8*151451*0+10/10*230661*0+12/12*403585</f>
        <v>403585</v>
      </c>
      <c r="Y39" s="28">
        <f>4/4*25863*0+8/8*51494*0+10/10*76609*0+12/12*129611</f>
        <v>129611</v>
      </c>
      <c r="Z39" s="28"/>
      <c r="AA39" s="28"/>
      <c r="AB39" s="28"/>
      <c r="AC39" s="28"/>
      <c r="AD39" s="28">
        <f>549/549*0.28*0+3/3*-0.43*0+4/4*-0.76*0+5/5*-0.88*0+6/6*-1.42*0+7/7*-1.59*0+8/8*-1.79*0+9/9*-2.19*0+11/11*-2.31*0+12/12*-2.39</f>
        <v>-2.39</v>
      </c>
      <c r="AE39" s="28"/>
      <c r="AF39" s="28">
        <f>569/569*(11/11*13.75*0+12/12*352.5)</f>
        <v>352.5</v>
      </c>
      <c r="AG39" s="85">
        <f t="shared" si="3"/>
        <v>963512.48</v>
      </c>
      <c r="AH39" s="64">
        <f t="shared" si="0"/>
        <v>-247895.03999999992</v>
      </c>
    </row>
    <row r="40" spans="1:34" s="65" customFormat="1" ht="12.75">
      <c r="A40" s="2" t="s">
        <v>42</v>
      </c>
      <c r="B40" s="10"/>
      <c r="C40" s="21">
        <f>3608.18*0+3/3*4923.63*0+4/4*5245.45*0+5/5*5880.9*0+6/6*7107.26</f>
        <v>7107.26</v>
      </c>
      <c r="D40" s="21"/>
      <c r="E40" s="21"/>
      <c r="F40" s="21"/>
      <c r="G40" s="21"/>
      <c r="H40" s="21"/>
      <c r="I40" s="21">
        <f>6/6*1500</f>
        <v>1500</v>
      </c>
      <c r="J40" s="21"/>
      <c r="K40" s="21"/>
      <c r="L40" s="85">
        <f t="shared" si="1"/>
        <v>8607.26</v>
      </c>
      <c r="M40" s="38"/>
      <c r="N40" s="38"/>
      <c r="O40" s="40"/>
      <c r="P40" s="40"/>
      <c r="Q40" s="28"/>
      <c r="R40" s="28"/>
      <c r="S40" s="28"/>
      <c r="T40" s="28"/>
      <c r="U40" s="28"/>
      <c r="V40" s="28"/>
      <c r="W40" s="28">
        <f>2476.5*0+4/4*3476.5*0+5/5*4855.07*0+12/12*6554.96</f>
        <v>6554.96</v>
      </c>
      <c r="X40" s="28"/>
      <c r="Y40" s="28"/>
      <c r="Z40" s="28"/>
      <c r="AA40" s="28"/>
      <c r="AB40" s="28"/>
      <c r="AC40" s="28"/>
      <c r="AD40" s="28">
        <f>549/549*(0.2*0+5/5*-0.08)</f>
        <v>-0.08</v>
      </c>
      <c r="AE40" s="28"/>
      <c r="AF40" s="28"/>
      <c r="AG40" s="85">
        <f t="shared" si="3"/>
        <v>6554.88</v>
      </c>
      <c r="AH40" s="64">
        <f aca="true" t="shared" si="4" ref="AH40:AH91">L40-AG40</f>
        <v>2052.38</v>
      </c>
    </row>
    <row r="41" spans="1:34" s="65" customFormat="1" ht="12.75">
      <c r="A41" s="2" t="s">
        <v>20</v>
      </c>
      <c r="B41" s="10"/>
      <c r="C41" s="21"/>
      <c r="D41" s="21"/>
      <c r="E41" s="21">
        <f>3/3*1781.82+6/6*1636.38+9/9*818.19+12/12*1654.56</f>
        <v>5890.949999999999</v>
      </c>
      <c r="F41" s="21"/>
      <c r="G41" s="21"/>
      <c r="H41" s="21"/>
      <c r="I41" s="21"/>
      <c r="J41" s="21"/>
      <c r="K41" s="21"/>
      <c r="L41" s="85">
        <f>SUM(B41:K41)</f>
        <v>5890.949999999999</v>
      </c>
      <c r="M41" s="38"/>
      <c r="N41" s="38"/>
      <c r="O41" s="40"/>
      <c r="P41" s="40"/>
      <c r="Q41" s="28"/>
      <c r="R41" s="28"/>
      <c r="S41" s="28"/>
      <c r="T41" s="28"/>
      <c r="U41" s="28"/>
      <c r="V41" s="28"/>
      <c r="W41" s="28">
        <f>500*(2+3/3+4/4+5/5+6/6+9/9+10/10+11/11+12/12)</f>
        <v>5000</v>
      </c>
      <c r="X41" s="28"/>
      <c r="Y41" s="28"/>
      <c r="Z41" s="28"/>
      <c r="AA41" s="28"/>
      <c r="AB41" s="28"/>
      <c r="AC41" s="28"/>
      <c r="AD41" s="28"/>
      <c r="AE41" s="28"/>
      <c r="AF41" s="28"/>
      <c r="AG41" s="85">
        <f t="shared" si="3"/>
        <v>5000</v>
      </c>
      <c r="AH41" s="64">
        <f t="shared" si="4"/>
        <v>890.9499999999989</v>
      </c>
    </row>
    <row r="42" spans="1:34" s="65" customFormat="1" ht="12.75">
      <c r="A42" s="2" t="s">
        <v>21</v>
      </c>
      <c r="B42" s="10"/>
      <c r="C42" s="21">
        <f>12845.58*0+3/3*25754.8*0+4/4*42300.42*0+5/5*52745.98*0+9/9*58200.58*0+10/10*77855.33*0+11/11*120692.11*0+12/12*144001.44</f>
        <v>144001.44</v>
      </c>
      <c r="D42" s="43">
        <f>43383.26*0+3/3*44716.54*0+5/5*53516.46*0+6/6*55291.39*0+9/9*58399.6*0+10/10*105641.15*0+11/11*135741.15*0+12/12*160957.81</f>
        <v>160957.81</v>
      </c>
      <c r="E42" s="31"/>
      <c r="F42" s="31"/>
      <c r="G42" s="31"/>
      <c r="H42" s="31"/>
      <c r="I42" s="31">
        <f>11/11*793.33</f>
        <v>793.33</v>
      </c>
      <c r="J42" s="31"/>
      <c r="K42" s="31"/>
      <c r="L42" s="85">
        <f t="shared" si="1"/>
        <v>305752.58</v>
      </c>
      <c r="M42" s="38"/>
      <c r="N42" s="38"/>
      <c r="O42" s="40">
        <f>43140+46539-X42</f>
        <v>-92679</v>
      </c>
      <c r="P42" s="40">
        <f>14668+15822-Y42</f>
        <v>-31513</v>
      </c>
      <c r="Q42" s="28"/>
      <c r="R42" s="28"/>
      <c r="S42" s="28"/>
      <c r="T42" s="28"/>
      <c r="U42" s="29">
        <f>6/6*439.2</f>
        <v>439.2</v>
      </c>
      <c r="V42" s="29"/>
      <c r="W42" s="32">
        <f>12900*0+3/3*13279*0+4/4*37279*0+5/5*62969.2*0+9/9*64969.2*0+10/10*73469.2*0+11/11*112758*0+12/12*147826</f>
        <v>147826</v>
      </c>
      <c r="X42" s="32">
        <f>4/4*43140*0+8/8*89679*0+10/10*133896*0+12/12*182358</f>
        <v>182358</v>
      </c>
      <c r="Y42" s="32">
        <f>4/4*14668*0+8/8*30490*0+10/10*45525*0+12/12*62003</f>
        <v>62003</v>
      </c>
      <c r="Z42" s="32"/>
      <c r="AA42" s="32"/>
      <c r="AB42" s="32"/>
      <c r="AC42" s="32"/>
      <c r="AD42" s="32">
        <f>549/549*(3/3*0.2*0+5/5*-0.2)</f>
        <v>-0.2</v>
      </c>
      <c r="AE42" s="32"/>
      <c r="AF42" s="32"/>
      <c r="AG42" s="85">
        <f>SUM(Q42:AF42)</f>
        <v>392626</v>
      </c>
      <c r="AH42" s="64">
        <f t="shared" si="4"/>
        <v>-86873.41999999998</v>
      </c>
    </row>
    <row r="43" spans="1:34" s="65" customFormat="1" ht="12.75">
      <c r="A43" s="2" t="s">
        <v>22</v>
      </c>
      <c r="B43" s="10"/>
      <c r="C43" s="21"/>
      <c r="D43" s="43">
        <f>6726*0+3/3*10206*0+4/4*14124*0+5/5*17694*0+6/6*22548*0+7/7*26106*0+8/8*30966*0+9/9*36342*0+10/10*41100*0+11/11*46818*0+12/12*48990</f>
        <v>48990</v>
      </c>
      <c r="E43" s="31"/>
      <c r="F43" s="31"/>
      <c r="G43" s="31"/>
      <c r="H43" s="31"/>
      <c r="I43" s="31"/>
      <c r="J43" s="31"/>
      <c r="K43" s="31"/>
      <c r="L43" s="85">
        <f t="shared" si="1"/>
        <v>48990</v>
      </c>
      <c r="M43" s="38"/>
      <c r="N43" s="38"/>
      <c r="O43" s="40"/>
      <c r="P43" s="40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85">
        <f t="shared" si="3"/>
        <v>0</v>
      </c>
      <c r="AH43" s="64">
        <f t="shared" si="4"/>
        <v>48990</v>
      </c>
    </row>
    <row r="44" spans="1:34" s="65" customFormat="1" ht="12" customHeight="1">
      <c r="A44" s="2" t="s">
        <v>23</v>
      </c>
      <c r="B44" s="10"/>
      <c r="C44" s="21">
        <f>6833.07*0+4/4*10582.92*0+5/5*13082.82*0+6/6*43548.27*0+7/7*62689.17*0+8/8*71238.82*0+9/9*76255.29*0+12/12*77505.24</f>
        <v>77505.24</v>
      </c>
      <c r="D44" s="21"/>
      <c r="E44" s="21">
        <f>10/10*1070</f>
        <v>1070</v>
      </c>
      <c r="F44" s="21"/>
      <c r="G44" s="21"/>
      <c r="H44" s="21"/>
      <c r="I44" s="21"/>
      <c r="J44" s="21"/>
      <c r="K44" s="21"/>
      <c r="L44" s="85">
        <f t="shared" si="1"/>
        <v>78575.24</v>
      </c>
      <c r="M44" s="38"/>
      <c r="N44" s="38"/>
      <c r="O44" s="40">
        <f>15627+15357-X44</f>
        <v>-32883</v>
      </c>
      <c r="P44" s="40">
        <f>5310+5222-Y44</f>
        <v>-11184</v>
      </c>
      <c r="Q44" s="28">
        <f>416.65*0+3/3*654.07*0+7/7*933.32*0+8/8*2226.4*0+9/9*2393.9*0+10/10*2901.38*0+11/11*3536.13*0+12/12*4296.81</f>
        <v>4296.81</v>
      </c>
      <c r="R44" s="28"/>
      <c r="S44" s="29">
        <f>-388*0+10/10*51430.51*0+12/12*74522.18</f>
        <v>74522.18</v>
      </c>
      <c r="T44" s="32"/>
      <c r="U44" s="29">
        <f>1797</f>
        <v>1797</v>
      </c>
      <c r="V44" s="29"/>
      <c r="W44" s="32">
        <f>268.7*0+3/3*647.5*0+5/5*1043.4*0+7/7*1451.6*0+8/8*2212.9*0+9/9*5356.7*0+10/10*6145.7*0+11/11*6348.1*0+6374.1</f>
        <v>6374.1</v>
      </c>
      <c r="X44" s="32">
        <f>4/4*15627*0+8/8*30984*0+10/10*46388*0+12/12*63867</f>
        <v>63867</v>
      </c>
      <c r="Y44" s="32">
        <f>4/4*5310*0+8/8*10532*0+10/10*15772*0+12/12*21716</f>
        <v>21716</v>
      </c>
      <c r="Z44" s="32"/>
      <c r="AA44" s="32">
        <f>7/7*1446*0*8/8</f>
        <v>0</v>
      </c>
      <c r="AB44" s="32"/>
      <c r="AC44" s="32"/>
      <c r="AD44" s="32">
        <f>549/549*(-0.3*0+3/3*-0.6*0+5/5*-0.5*0+7/7*-0.3*0+8/8*-0.4*0+9/9*-0.9*0+10/10*-0.92*0+11/11*-0.3*0+12/12*-0.11)</f>
        <v>-0.11</v>
      </c>
      <c r="AE44" s="32"/>
      <c r="AF44" s="32"/>
      <c r="AG44" s="85">
        <f>SUM(Q44:AF44)-(24730.62+532/532*1446)*0</f>
        <v>172572.98</v>
      </c>
      <c r="AH44" s="64">
        <f t="shared" si="4"/>
        <v>-93997.74</v>
      </c>
    </row>
    <row r="45" spans="1:34" s="65" customFormat="1" ht="12.75">
      <c r="A45" s="2" t="s">
        <v>55</v>
      </c>
      <c r="B45" s="10"/>
      <c r="C45" s="21"/>
      <c r="D45" s="21"/>
      <c r="E45" s="21"/>
      <c r="F45" s="21"/>
      <c r="G45" s="21"/>
      <c r="H45" s="21"/>
      <c r="I45" s="21"/>
      <c r="J45" s="21"/>
      <c r="K45" s="21"/>
      <c r="L45" s="85">
        <f t="shared" si="1"/>
        <v>0</v>
      </c>
      <c r="M45" s="38"/>
      <c r="N45" s="38"/>
      <c r="O45" s="40"/>
      <c r="P45" s="40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>
        <f>569/569*664*0+3/3*3846*0+4/4*4200.5*0+5/5*4585*0+6/6*7456.5*0+7/7*7796*0+8/8*8180.5*0+9/9*10362*0+10/10*10701.5*0+11/11*11056*0+12/12*14133.5</f>
        <v>14133.5</v>
      </c>
      <c r="AG45" s="85">
        <f>SUM(Q45:AF45)</f>
        <v>14133.5</v>
      </c>
      <c r="AH45" s="64">
        <f t="shared" si="4"/>
        <v>-14133.5</v>
      </c>
    </row>
    <row r="46" spans="1:34" s="65" customFormat="1" ht="12.75">
      <c r="A46" s="2" t="s">
        <v>56</v>
      </c>
      <c r="B46" s="10"/>
      <c r="C46" s="21"/>
      <c r="D46" s="21"/>
      <c r="E46" s="21"/>
      <c r="F46" s="21"/>
      <c r="G46" s="21"/>
      <c r="H46" s="21"/>
      <c r="I46" s="21"/>
      <c r="J46" s="21"/>
      <c r="K46" s="21"/>
      <c r="L46" s="85">
        <f t="shared" si="1"/>
        <v>0</v>
      </c>
      <c r="M46" s="38"/>
      <c r="N46" s="38"/>
      <c r="O46" s="40"/>
      <c r="P46" s="40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>
        <f>569/569*754*0+3/3*3237.5*0+4/4*3607*0+5/5*3976.5*0+6/6*6339*0+7/7*6708.5*0+8/8*7123*0+9/9*10101.5*0+10/10*10570.5*0+11/11*10985*0+12/12*14293.5</f>
        <v>14293.5</v>
      </c>
      <c r="AG46" s="85">
        <f>SUM(Q46:AF46)</f>
        <v>14293.5</v>
      </c>
      <c r="AH46" s="64">
        <f t="shared" si="4"/>
        <v>-14293.5</v>
      </c>
    </row>
    <row r="47" spans="1:34" s="65" customFormat="1" ht="12.75">
      <c r="A47" s="2" t="s">
        <v>24</v>
      </c>
      <c r="B47" s="10"/>
      <c r="C47" s="21">
        <f>7195.52*0+3/3*11772.82*0+4/4*17981.7*0+5/5*21060.72*0+6/6*25960.51*0+7/7*28202.09*0+8/8*30523.65*0+9/9*36348.37*0+10/10*39214.9*0+11/11*49006.14*0+12/12*52268.49</f>
        <v>52268.49</v>
      </c>
      <c r="D47" s="21"/>
      <c r="E47" s="21"/>
      <c r="F47" s="21"/>
      <c r="G47" s="21"/>
      <c r="H47" s="21"/>
      <c r="I47" s="21"/>
      <c r="J47" s="21"/>
      <c r="K47" s="21"/>
      <c r="L47" s="85">
        <f t="shared" si="1"/>
        <v>52268.49</v>
      </c>
      <c r="M47" s="38"/>
      <c r="N47" s="38"/>
      <c r="O47" s="40">
        <f>164482+205886-X47</f>
        <v>-413192</v>
      </c>
      <c r="P47" s="40">
        <f>55923+70005-Y47</f>
        <v>-140490</v>
      </c>
      <c r="Q47" s="28">
        <f>9/9*2094.4</f>
        <v>2094.4</v>
      </c>
      <c r="R47" s="28"/>
      <c r="S47" s="28"/>
      <c r="T47" s="28"/>
      <c r="U47" s="28"/>
      <c r="V47" s="28"/>
      <c r="W47" s="28">
        <f>9/9*214</f>
        <v>214</v>
      </c>
      <c r="X47" s="28">
        <f>4/4*164482*0+8/8*370368*0+10/10*575291*0+12/12*783560</f>
        <v>783560</v>
      </c>
      <c r="Y47" s="28">
        <f>4/4*55923*0+8/8*125928*0+10/10*195604*0+12/12*266418</f>
        <v>266418</v>
      </c>
      <c r="Z47" s="28"/>
      <c r="AA47" s="28"/>
      <c r="AB47" s="28"/>
      <c r="AC47" s="28"/>
      <c r="AD47" s="28">
        <f>9/9*-0.08</f>
        <v>-0.08</v>
      </c>
      <c r="AE47" s="28"/>
      <c r="AF47" s="28"/>
      <c r="AG47" s="85">
        <f>SUM(Q47:AF47)</f>
        <v>1052286.3199999998</v>
      </c>
      <c r="AH47" s="64">
        <f t="shared" si="4"/>
        <v>-1000017.8299999998</v>
      </c>
    </row>
    <row r="48" spans="1:34" s="55" customFormat="1" ht="12">
      <c r="A48" s="50" t="s">
        <v>118</v>
      </c>
      <c r="C48" s="18"/>
      <c r="D48" s="56">
        <f>1/1*(1156463+158047)+2/2*1318398+3/3*1321534+4/4*1317696+5/5*1322464+6/6*1316893+7/7*1340206+8/8*1328909+9/9*1331190+10/10*1324110+11/11*1333263</f>
        <v>14569173</v>
      </c>
      <c r="E48" s="18"/>
      <c r="F48" s="18"/>
      <c r="G48" s="18"/>
      <c r="H48" s="18"/>
      <c r="I48" s="18"/>
      <c r="J48" s="18"/>
      <c r="K48" s="18"/>
      <c r="L48" s="87">
        <f t="shared" si="1"/>
        <v>14569173</v>
      </c>
      <c r="M48" s="67"/>
      <c r="N48" s="67"/>
      <c r="O48" s="67"/>
      <c r="P48" s="67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87">
        <f>SUM(Q48:AF48)</f>
        <v>0</v>
      </c>
      <c r="AH48" s="64">
        <f t="shared" si="4"/>
        <v>14569173</v>
      </c>
    </row>
    <row r="49" spans="1:34" s="22" customFormat="1" ht="9.75" hidden="1">
      <c r="A49" s="7" t="s">
        <v>65</v>
      </c>
      <c r="C49" s="23"/>
      <c r="D49" s="44">
        <f>1159151+159247-1318398</f>
        <v>0</v>
      </c>
      <c r="E49" s="23"/>
      <c r="F49" s="23"/>
      <c r="G49" s="23"/>
      <c r="H49" s="23"/>
      <c r="I49" s="23"/>
      <c r="J49" s="23"/>
      <c r="K49" s="23"/>
      <c r="L49" s="66">
        <f t="shared" si="1"/>
        <v>0</v>
      </c>
      <c r="M49" s="40"/>
      <c r="N49" s="40"/>
      <c r="O49" s="40"/>
      <c r="P49" s="40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66">
        <f>SUM(Q49:AF49)</f>
        <v>0</v>
      </c>
      <c r="AH49" s="68">
        <f t="shared" si="4"/>
        <v>0</v>
      </c>
    </row>
    <row r="50" spans="1:34" s="22" customFormat="1" ht="9.75" hidden="1">
      <c r="A50" s="7" t="s">
        <v>66</v>
      </c>
      <c r="C50" s="23"/>
      <c r="D50" s="44">
        <f>1162287+159247-1321534</f>
        <v>0</v>
      </c>
      <c r="E50" s="23"/>
      <c r="F50" s="23"/>
      <c r="G50" s="23"/>
      <c r="H50" s="23"/>
      <c r="I50" s="23"/>
      <c r="J50" s="23"/>
      <c r="K50" s="23"/>
      <c r="L50" s="66">
        <f aca="true" t="shared" si="5" ref="L50:L55">SUM(B50:K50)</f>
        <v>0</v>
      </c>
      <c r="M50" s="40"/>
      <c r="N50" s="40"/>
      <c r="O50" s="40"/>
      <c r="P50" s="40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66">
        <f aca="true" t="shared" si="6" ref="AG50:AG55">SUM(Q50:AF50)</f>
        <v>0</v>
      </c>
      <c r="AH50" s="68">
        <f>L50-AG50</f>
        <v>0</v>
      </c>
    </row>
    <row r="51" spans="1:34" s="22" customFormat="1" ht="9.75" hidden="1">
      <c r="A51" s="7" t="s">
        <v>67</v>
      </c>
      <c r="C51" s="23"/>
      <c r="D51" s="44">
        <f>1158449+159247-1317696</f>
        <v>0</v>
      </c>
      <c r="E51" s="23"/>
      <c r="F51" s="23"/>
      <c r="G51" s="23"/>
      <c r="H51" s="23"/>
      <c r="I51" s="23"/>
      <c r="J51" s="23"/>
      <c r="K51" s="23"/>
      <c r="L51" s="66">
        <f t="shared" si="5"/>
        <v>0</v>
      </c>
      <c r="M51" s="40"/>
      <c r="N51" s="40"/>
      <c r="O51" s="40"/>
      <c r="P51" s="40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66">
        <f t="shared" si="6"/>
        <v>0</v>
      </c>
      <c r="AH51" s="68">
        <f>L51-AG51</f>
        <v>0</v>
      </c>
    </row>
    <row r="52" spans="1:34" s="65" customFormat="1" ht="12.75" customHeight="1" hidden="1">
      <c r="A52" s="7" t="s">
        <v>57</v>
      </c>
      <c r="B52" s="9"/>
      <c r="C52" s="69"/>
      <c r="D52" s="43"/>
      <c r="E52" s="31"/>
      <c r="F52" s="31"/>
      <c r="G52" s="31"/>
      <c r="H52" s="31"/>
      <c r="I52" s="31"/>
      <c r="J52" s="31"/>
      <c r="K52" s="31"/>
      <c r="L52" s="85">
        <f t="shared" si="5"/>
        <v>0</v>
      </c>
      <c r="M52" s="40"/>
      <c r="N52" s="40"/>
      <c r="O52" s="40"/>
      <c r="P52" s="40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85">
        <f t="shared" si="6"/>
        <v>0</v>
      </c>
      <c r="AH52" s="64">
        <f t="shared" si="4"/>
        <v>0</v>
      </c>
    </row>
    <row r="53" spans="1:34" s="22" customFormat="1" ht="9.75" hidden="1">
      <c r="A53" s="7" t="s">
        <v>68</v>
      </c>
      <c r="C53" s="23"/>
      <c r="D53" s="44">
        <f>1155234+167230-1322464</f>
        <v>0</v>
      </c>
      <c r="E53" s="23"/>
      <c r="F53" s="23"/>
      <c r="G53" s="23"/>
      <c r="H53" s="23"/>
      <c r="I53" s="23"/>
      <c r="J53" s="23"/>
      <c r="K53" s="23"/>
      <c r="L53" s="66">
        <f t="shared" si="5"/>
        <v>0</v>
      </c>
      <c r="M53" s="40"/>
      <c r="N53" s="40"/>
      <c r="O53" s="40"/>
      <c r="P53" s="40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66">
        <f t="shared" si="6"/>
        <v>0</v>
      </c>
      <c r="AH53" s="68">
        <f aca="true" t="shared" si="7" ref="AH53:AH67">L53-AG53</f>
        <v>0</v>
      </c>
    </row>
    <row r="54" spans="1:34" s="22" customFormat="1" ht="9.75" hidden="1">
      <c r="A54" s="7" t="s">
        <v>70</v>
      </c>
      <c r="C54" s="23"/>
      <c r="D54" s="44">
        <f>1139401+177492-1316893</f>
        <v>0</v>
      </c>
      <c r="E54" s="23"/>
      <c r="F54" s="23"/>
      <c r="G54" s="23"/>
      <c r="H54" s="23"/>
      <c r="I54" s="23"/>
      <c r="J54" s="23"/>
      <c r="K54" s="23"/>
      <c r="L54" s="66">
        <f t="shared" si="5"/>
        <v>0</v>
      </c>
      <c r="M54" s="40"/>
      <c r="N54" s="40"/>
      <c r="O54" s="40"/>
      <c r="P54" s="40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66">
        <f t="shared" si="6"/>
        <v>0</v>
      </c>
      <c r="AH54" s="68">
        <f t="shared" si="7"/>
        <v>0</v>
      </c>
    </row>
    <row r="55" spans="1:34" s="22" customFormat="1" ht="9.75" hidden="1">
      <c r="A55" s="7" t="s">
        <v>75</v>
      </c>
      <c r="C55" s="23"/>
      <c r="D55" s="44">
        <f>1160128+180078-1340206</f>
        <v>0</v>
      </c>
      <c r="E55" s="23"/>
      <c r="F55" s="23"/>
      <c r="G55" s="23"/>
      <c r="H55" s="23"/>
      <c r="I55" s="23"/>
      <c r="J55" s="23"/>
      <c r="K55" s="23"/>
      <c r="L55" s="66">
        <f t="shared" si="5"/>
        <v>0</v>
      </c>
      <c r="M55" s="40"/>
      <c r="N55" s="40"/>
      <c r="O55" s="40"/>
      <c r="P55" s="40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66">
        <f t="shared" si="6"/>
        <v>0</v>
      </c>
      <c r="AH55" s="68">
        <f t="shared" si="7"/>
        <v>0</v>
      </c>
    </row>
    <row r="56" spans="1:34" s="22" customFormat="1" ht="9.75" hidden="1">
      <c r="A56" s="7" t="s">
        <v>88</v>
      </c>
      <c r="C56" s="23"/>
      <c r="D56" s="44">
        <f>1156563+172346-1328909</f>
        <v>0</v>
      </c>
      <c r="E56" s="23"/>
      <c r="F56" s="23"/>
      <c r="G56" s="23"/>
      <c r="H56" s="23"/>
      <c r="I56" s="23"/>
      <c r="J56" s="23"/>
      <c r="K56" s="23"/>
      <c r="L56" s="66">
        <f aca="true" t="shared" si="8" ref="L56:L67">SUM(B56:K56)</f>
        <v>0</v>
      </c>
      <c r="O56" s="70"/>
      <c r="P56" s="70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66">
        <f aca="true" t="shared" si="9" ref="AG56:AG78">SUM(Q56:AF56)</f>
        <v>0</v>
      </c>
      <c r="AH56" s="68">
        <f t="shared" si="7"/>
        <v>0</v>
      </c>
    </row>
    <row r="57" spans="1:34" s="46" customFormat="1" ht="9" customHeight="1" hidden="1">
      <c r="A57" s="7" t="s">
        <v>98</v>
      </c>
      <c r="C57" s="47"/>
      <c r="D57" s="44">
        <f>1159438+171752-1331190</f>
        <v>0</v>
      </c>
      <c r="E57" s="47"/>
      <c r="F57" s="47"/>
      <c r="G57" s="47"/>
      <c r="H57" s="47"/>
      <c r="I57" s="47"/>
      <c r="J57" s="47"/>
      <c r="K57" s="47"/>
      <c r="L57" s="66">
        <f>SUM(B57:K57)</f>
        <v>0</v>
      </c>
      <c r="M57" s="22"/>
      <c r="N57" s="22"/>
      <c r="O57" s="71">
        <f>SUM(D47:D57,D2)-N57-N63</f>
        <v>685821</v>
      </c>
      <c r="P57" s="72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88">
        <f>SUM(Q57:AF57)</f>
        <v>0</v>
      </c>
      <c r="AH57" s="71">
        <f>L57-AG57</f>
        <v>0</v>
      </c>
    </row>
    <row r="58" spans="1:34" s="22" customFormat="1" ht="9.75" hidden="1">
      <c r="A58" s="7" t="s">
        <v>111</v>
      </c>
      <c r="C58" s="23"/>
      <c r="D58" s="53">
        <f>1152364+171746-1324110</f>
        <v>0</v>
      </c>
      <c r="E58" s="23"/>
      <c r="F58" s="23"/>
      <c r="G58" s="23"/>
      <c r="H58" s="23"/>
      <c r="I58" s="23"/>
      <c r="J58" s="23"/>
      <c r="K58" s="23"/>
      <c r="L58" s="66">
        <f t="shared" si="8"/>
        <v>0</v>
      </c>
      <c r="M58" s="41"/>
      <c r="N58" s="41"/>
      <c r="O58" s="68">
        <f>SUM(D48:D58,D3)-N63-N64</f>
        <v>-1336833</v>
      </c>
      <c r="P58" s="70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66">
        <f>SUM(Q58:AF58)</f>
        <v>0</v>
      </c>
      <c r="AH58" s="68">
        <f>L58-AG58</f>
        <v>0</v>
      </c>
    </row>
    <row r="59" spans="1:34" s="22" customFormat="1" ht="9.75" hidden="1">
      <c r="A59" s="7" t="s">
        <v>112</v>
      </c>
      <c r="C59" s="23"/>
      <c r="D59" s="53">
        <f>1160152+173111-1333263</f>
        <v>0</v>
      </c>
      <c r="E59" s="23"/>
      <c r="F59" s="23"/>
      <c r="G59" s="23"/>
      <c r="H59" s="23"/>
      <c r="I59" s="23"/>
      <c r="J59" s="23"/>
      <c r="K59" s="23"/>
      <c r="L59" s="66">
        <f>SUM(B59:K59)</f>
        <v>0</v>
      </c>
      <c r="O59" s="68" t="e">
        <f>SUM(D49:D59,D4)-#REF!-N62</f>
        <v>#REF!</v>
      </c>
      <c r="P59" s="70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66">
        <f>SUM(Q59:AF59)</f>
        <v>0</v>
      </c>
      <c r="AH59" s="68">
        <f>L59-AG59</f>
        <v>0</v>
      </c>
    </row>
    <row r="60" spans="1:34" s="65" customFormat="1" ht="12.75">
      <c r="A60" s="7" t="s">
        <v>123</v>
      </c>
      <c r="B60" s="9"/>
      <c r="C60" s="69"/>
      <c r="D60" s="49">
        <f>1163722+173111</f>
        <v>1336833</v>
      </c>
      <c r="E60" s="18"/>
      <c r="F60" s="18"/>
      <c r="G60" s="18"/>
      <c r="H60" s="18"/>
      <c r="I60" s="18"/>
      <c r="J60" s="18"/>
      <c r="K60" s="18"/>
      <c r="L60" s="85">
        <f>SUM(B60:K60)</f>
        <v>1336833</v>
      </c>
      <c r="M60" s="10"/>
      <c r="N60" s="10"/>
      <c r="O60" s="73" t="e">
        <f>SUM(D50:D60,D5)-#REF!-N63</f>
        <v>#REF!</v>
      </c>
      <c r="P60" s="70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85">
        <f>SUM(Q60:AF60)</f>
        <v>0</v>
      </c>
      <c r="AH60" s="64">
        <f>L60-AG60</f>
        <v>1336833</v>
      </c>
    </row>
    <row r="61" spans="1:34" s="33" customFormat="1" ht="12.75">
      <c r="A61" s="50" t="s">
        <v>76</v>
      </c>
      <c r="C61" s="30"/>
      <c r="D61" s="30"/>
      <c r="E61" s="30"/>
      <c r="F61" s="30"/>
      <c r="G61" s="30"/>
      <c r="H61" s="30"/>
      <c r="I61" s="30"/>
      <c r="J61" s="18">
        <f>647/647*8/8*138040</f>
        <v>138040</v>
      </c>
      <c r="K61" s="30"/>
      <c r="L61" s="85">
        <f t="shared" si="8"/>
        <v>138040</v>
      </c>
      <c r="O61" s="73" t="e">
        <f>O65+O90-N65</f>
        <v>#VALUE!</v>
      </c>
      <c r="P61" s="73" t="s">
        <v>94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45">
        <f>9/9*4143</f>
        <v>4143</v>
      </c>
      <c r="AB61" s="26"/>
      <c r="AC61" s="26"/>
      <c r="AD61" s="26"/>
      <c r="AE61" s="42">
        <f>554/554*8/8*14145</f>
        <v>14145</v>
      </c>
      <c r="AF61" s="26"/>
      <c r="AG61" s="85">
        <f t="shared" si="9"/>
        <v>18288</v>
      </c>
      <c r="AH61" s="64">
        <f t="shared" si="7"/>
        <v>119752</v>
      </c>
    </row>
    <row r="62" spans="1:34" s="33" customFormat="1" ht="12.75">
      <c r="A62" s="50" t="s">
        <v>103</v>
      </c>
      <c r="C62" s="30"/>
      <c r="D62" s="30"/>
      <c r="E62" s="30"/>
      <c r="F62" s="30"/>
      <c r="G62" s="30"/>
      <c r="H62" s="30"/>
      <c r="I62" s="30"/>
      <c r="J62" s="18">
        <f>647/647*11/11*1311000</f>
        <v>1311000</v>
      </c>
      <c r="K62" s="30"/>
      <c r="L62" s="85">
        <f>SUM(B62:K62)</f>
        <v>1311000</v>
      </c>
      <c r="M62" s="75"/>
      <c r="N62" s="45"/>
      <c r="O62" s="73">
        <f>SUM(D30+D38+D41+D87)</f>
        <v>0</v>
      </c>
      <c r="P62" s="73" t="s">
        <v>90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42"/>
      <c r="AB62" s="42"/>
      <c r="AC62" s="42"/>
      <c r="AD62" s="42"/>
      <c r="AE62" s="42">
        <f>11/11*554/554*924</f>
        <v>924</v>
      </c>
      <c r="AF62" s="26"/>
      <c r="AG62" s="85">
        <f>SUM(Q62:AF62)</f>
        <v>924</v>
      </c>
      <c r="AH62" s="64">
        <f>L62-AG62</f>
        <v>1310076</v>
      </c>
    </row>
    <row r="63" spans="1:34" s="33" customFormat="1" ht="12.75">
      <c r="A63" s="50" t="s">
        <v>104</v>
      </c>
      <c r="C63" s="30"/>
      <c r="D63" s="30"/>
      <c r="E63" s="30"/>
      <c r="F63" s="30"/>
      <c r="G63" s="30"/>
      <c r="H63" s="30"/>
      <c r="I63" s="30"/>
      <c r="J63" s="18">
        <f>647/647*11/11*950000</f>
        <v>950000</v>
      </c>
      <c r="K63" s="30"/>
      <c r="L63" s="85">
        <f>SUM(B63:K63)</f>
        <v>950000</v>
      </c>
      <c r="M63" s="75" t="s">
        <v>89</v>
      </c>
      <c r="N63" s="76">
        <v>13883352</v>
      </c>
      <c r="O63" s="73">
        <f>SUM(D31+D39+D42+D88)</f>
        <v>356632.64</v>
      </c>
      <c r="P63" s="73" t="s">
        <v>90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42"/>
      <c r="AB63" s="42"/>
      <c r="AC63" s="42"/>
      <c r="AD63" s="42"/>
      <c r="AE63" s="42">
        <f>554/554*11/11*170000</f>
        <v>170000</v>
      </c>
      <c r="AF63" s="26"/>
      <c r="AG63" s="85">
        <f>SUM(Q63:AF63)</f>
        <v>170000</v>
      </c>
      <c r="AH63" s="64">
        <f>L63-AG63</f>
        <v>780000</v>
      </c>
    </row>
    <row r="64" spans="1:34" s="33" customFormat="1" ht="12.75">
      <c r="A64" s="50" t="s">
        <v>105</v>
      </c>
      <c r="C64" s="30"/>
      <c r="D64" s="30"/>
      <c r="E64" s="30"/>
      <c r="F64" s="30"/>
      <c r="G64" s="30"/>
      <c r="H64" s="30"/>
      <c r="I64" s="30"/>
      <c r="J64" s="18">
        <f>647/647*11/11*459900</f>
        <v>459900</v>
      </c>
      <c r="K64" s="30"/>
      <c r="L64" s="85">
        <f>SUM(B64:K64)</f>
        <v>459900</v>
      </c>
      <c r="M64" s="75" t="s">
        <v>124</v>
      </c>
      <c r="N64" s="76">
        <v>2028786</v>
      </c>
      <c r="O64" s="73">
        <f>SUM(D32+D40+D43+D89)</f>
        <v>48990</v>
      </c>
      <c r="P64" s="73" t="s">
        <v>90</v>
      </c>
      <c r="Q64" s="26"/>
      <c r="R64" s="26"/>
      <c r="S64" s="26"/>
      <c r="T64" s="26"/>
      <c r="U64" s="26"/>
      <c r="V64" s="26"/>
      <c r="W64" s="42">
        <f>11/11*3600</f>
        <v>3600</v>
      </c>
      <c r="X64" s="26"/>
      <c r="Y64" s="26"/>
      <c r="Z64" s="26"/>
      <c r="AA64" s="42"/>
      <c r="AB64" s="42"/>
      <c r="AC64" s="42"/>
      <c r="AD64" s="42"/>
      <c r="AE64" s="42">
        <f>11/11*935</f>
        <v>935</v>
      </c>
      <c r="AF64" s="26"/>
      <c r="AG64" s="85">
        <f>SUM(Q64:AF64)</f>
        <v>4535</v>
      </c>
      <c r="AH64" s="64">
        <f>L64-AG64</f>
        <v>455365</v>
      </c>
    </row>
    <row r="65" spans="1:34" s="33" customFormat="1" ht="12.75">
      <c r="A65" s="50" t="s">
        <v>78</v>
      </c>
      <c r="C65" s="30"/>
      <c r="D65" s="30"/>
      <c r="E65" s="30"/>
      <c r="F65" s="30"/>
      <c r="G65" s="30"/>
      <c r="H65" s="30"/>
      <c r="I65" s="30"/>
      <c r="J65" s="18">
        <f>647/647*8/8*54139+11/11*1</f>
        <v>54140</v>
      </c>
      <c r="K65" s="30"/>
      <c r="L65" s="85">
        <f t="shared" si="8"/>
        <v>54140</v>
      </c>
      <c r="M65" s="75" t="s">
        <v>80</v>
      </c>
      <c r="N65" s="26">
        <v>2846897.93</v>
      </c>
      <c r="O65" s="73">
        <f>SUM(D31+D39+D42+D88)</f>
        <v>356632.64</v>
      </c>
      <c r="P65" s="73" t="s">
        <v>90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5">
        <f>9/9*1626</f>
        <v>1626</v>
      </c>
      <c r="AB65" s="26"/>
      <c r="AC65" s="26"/>
      <c r="AD65" s="42">
        <f>549/549*8/8*144+11/11*-4</f>
        <v>140</v>
      </c>
      <c r="AE65" s="42">
        <f>554/554*8/8*100</f>
        <v>100</v>
      </c>
      <c r="AF65" s="26"/>
      <c r="AG65" s="85">
        <f>SUM(Q65:AF65)</f>
        <v>1866</v>
      </c>
      <c r="AH65" s="64">
        <f t="shared" si="7"/>
        <v>52274</v>
      </c>
    </row>
    <row r="66" spans="1:34" s="33" customFormat="1" ht="12.75">
      <c r="A66" s="50" t="s">
        <v>77</v>
      </c>
      <c r="C66" s="30"/>
      <c r="D66" s="30"/>
      <c r="E66" s="30"/>
      <c r="F66" s="30"/>
      <c r="G66" s="30"/>
      <c r="H66" s="30"/>
      <c r="I66" s="30"/>
      <c r="J66" s="18">
        <f>647/647*8/8*73122-2*11/11</f>
        <v>73120</v>
      </c>
      <c r="K66" s="30"/>
      <c r="L66" s="85">
        <f t="shared" si="8"/>
        <v>73120</v>
      </c>
      <c r="M66" s="75" t="s">
        <v>81</v>
      </c>
      <c r="N66" s="76">
        <v>1866890.66</v>
      </c>
      <c r="O66" s="73">
        <f>N66-D33-D75</f>
        <v>1677450.5999999999</v>
      </c>
      <c r="P66" s="73" t="s">
        <v>93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45">
        <f>9/9*2196</f>
        <v>2196</v>
      </c>
      <c r="AB66" s="26"/>
      <c r="AC66" s="26"/>
      <c r="AD66" s="42">
        <f>549/549*8/8*40441+11/11*-1</f>
        <v>40440</v>
      </c>
      <c r="AE66" s="42">
        <f>554/554*8/8*108</f>
        <v>108</v>
      </c>
      <c r="AF66" s="26"/>
      <c r="AG66" s="85">
        <f t="shared" si="9"/>
        <v>42744</v>
      </c>
      <c r="AH66" s="64">
        <f t="shared" si="7"/>
        <v>30376</v>
      </c>
    </row>
    <row r="67" spans="1:34" s="33" customFormat="1" ht="12.75">
      <c r="A67" s="50" t="s">
        <v>87</v>
      </c>
      <c r="C67" s="30"/>
      <c r="D67" s="30"/>
      <c r="E67" s="30"/>
      <c r="F67" s="30"/>
      <c r="G67" s="30"/>
      <c r="H67" s="30"/>
      <c r="I67" s="30"/>
      <c r="J67" s="18"/>
      <c r="K67" s="30"/>
      <c r="L67" s="85">
        <f t="shared" si="8"/>
        <v>0</v>
      </c>
      <c r="M67" s="40" t="s">
        <v>84</v>
      </c>
      <c r="N67" s="77">
        <v>48990</v>
      </c>
      <c r="O67" s="24"/>
      <c r="P67" s="24"/>
      <c r="Q67" s="26"/>
      <c r="R67" s="26"/>
      <c r="S67" s="26"/>
      <c r="T67" s="26"/>
      <c r="U67" s="26"/>
      <c r="V67" s="26"/>
      <c r="W67" s="42">
        <f>8/8*5040+10/10*3600*(0*11/11+12/12)</f>
        <v>8640</v>
      </c>
      <c r="X67" s="26"/>
      <c r="Y67" s="26"/>
      <c r="Z67" s="26"/>
      <c r="AA67" s="26"/>
      <c r="AB67" s="26"/>
      <c r="AC67" s="26"/>
      <c r="AD67" s="42"/>
      <c r="AE67" s="42"/>
      <c r="AF67" s="26"/>
      <c r="AG67" s="85">
        <f t="shared" si="9"/>
        <v>8640</v>
      </c>
      <c r="AH67" s="64">
        <f t="shared" si="7"/>
        <v>-8640</v>
      </c>
    </row>
    <row r="68" spans="1:34" s="33" customFormat="1" ht="12.75">
      <c r="A68" s="50" t="s">
        <v>106</v>
      </c>
      <c r="C68" s="30"/>
      <c r="D68" s="30"/>
      <c r="E68" s="30"/>
      <c r="F68" s="30"/>
      <c r="G68" s="30"/>
      <c r="H68" s="30"/>
      <c r="I68" s="30"/>
      <c r="J68" s="18">
        <f>647/647*11/11*264511/264511*10000</f>
        <v>10000</v>
      </c>
      <c r="K68" s="30"/>
      <c r="L68" s="85">
        <f>SUM(B68:K68)</f>
        <v>10000</v>
      </c>
      <c r="M68" s="40" t="s">
        <v>107</v>
      </c>
      <c r="N68" s="26">
        <v>16100</v>
      </c>
      <c r="O68" s="73">
        <f>SUM(D36+D44+D47+D93)</f>
        <v>0</v>
      </c>
      <c r="P68" s="73" t="s">
        <v>90</v>
      </c>
      <c r="Q68" s="26"/>
      <c r="R68" s="26"/>
      <c r="S68" s="26"/>
      <c r="T68" s="26"/>
      <c r="U68" s="26"/>
      <c r="V68" s="26"/>
      <c r="W68" s="42">
        <f>11/11*3600*0*12/12</f>
        <v>0</v>
      </c>
      <c r="X68" s="26"/>
      <c r="Y68" s="26"/>
      <c r="Z68" s="26"/>
      <c r="AA68" s="42"/>
      <c r="AB68" s="42"/>
      <c r="AC68" s="42"/>
      <c r="AD68" s="42"/>
      <c r="AE68" s="42">
        <f>11/11*152000</f>
        <v>152000</v>
      </c>
      <c r="AF68" s="26"/>
      <c r="AG68" s="85">
        <f>SUM(Q68:AF68)</f>
        <v>152000</v>
      </c>
      <c r="AH68" s="64">
        <f>L68-AG68</f>
        <v>-142000</v>
      </c>
    </row>
    <row r="69" spans="1:34" s="65" customFormat="1" ht="12.75">
      <c r="A69" s="2" t="s">
        <v>25</v>
      </c>
      <c r="B69" s="10"/>
      <c r="C69" s="21">
        <f>1162.45*0+3/3*1849.92*0+4/4*2387*0+5/5*3049.87*0+6/6*3524.85*0+7/7*3999.83*0+8/8*4924.79*0+9/9*5487.27*0+10/10*6024.75*0+11/11*6537.23*0+12/12*6812.22</f>
        <v>6812.22</v>
      </c>
      <c r="D69" s="21"/>
      <c r="E69" s="21">
        <f>10/10*10100*0*11/11</f>
        <v>0</v>
      </c>
      <c r="F69" s="21"/>
      <c r="G69" s="21"/>
      <c r="H69" s="21"/>
      <c r="I69" s="21"/>
      <c r="J69" s="21"/>
      <c r="K69" s="21"/>
      <c r="L69" s="85">
        <f t="shared" si="1"/>
        <v>6812.22</v>
      </c>
      <c r="M69" s="40" t="s">
        <v>83</v>
      </c>
      <c r="N69" s="78" t="s">
        <v>113</v>
      </c>
      <c r="O69" s="70"/>
      <c r="P69" s="70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85">
        <f t="shared" si="9"/>
        <v>0</v>
      </c>
      <c r="AH69" s="64">
        <f t="shared" si="4"/>
        <v>6812.22</v>
      </c>
    </row>
    <row r="70" spans="1:34" s="65" customFormat="1" ht="12.75">
      <c r="A70" s="2" t="s">
        <v>27</v>
      </c>
      <c r="B70" s="10"/>
      <c r="C70" s="21">
        <f>3049.88*0+3/3*4599.82*0+4/4*5824.77*0+5/5*7416.37*0+6/6*8566.32*0+7/7*9341.29*0+8/8*10766.23*0+9/9*11924.52*0+10/10*13257.8*0+11/11*14766.07*0+12/12*15857.69</f>
        <v>15857.69</v>
      </c>
      <c r="D70" s="21"/>
      <c r="E70" s="21"/>
      <c r="F70" s="21"/>
      <c r="G70" s="21"/>
      <c r="H70" s="21"/>
      <c r="I70" s="21"/>
      <c r="J70" s="21"/>
      <c r="K70" s="21"/>
      <c r="L70" s="85">
        <f t="shared" si="1"/>
        <v>15857.69</v>
      </c>
      <c r="M70" s="75" t="s">
        <v>82</v>
      </c>
      <c r="N70" s="75">
        <f>SUM(N62:N69)</f>
        <v>20691016.59</v>
      </c>
      <c r="O70" s="40"/>
      <c r="P70" s="40"/>
      <c r="Q70" s="28">
        <f>3/3*144.22*0+9/9*263.39</f>
        <v>263.39</v>
      </c>
      <c r="R70" s="28"/>
      <c r="S70" s="28"/>
      <c r="T70" s="28"/>
      <c r="U70" s="28"/>
      <c r="V70" s="28"/>
      <c r="W70" s="28"/>
      <c r="X70" s="28">
        <f>(4/4+8/8+10/10+12/12)*8400</f>
        <v>33600</v>
      </c>
      <c r="Y70" s="28">
        <f>(4/4+8/8+10/10+12/12)*2856</f>
        <v>11424</v>
      </c>
      <c r="Z70" s="28"/>
      <c r="AA70" s="28"/>
      <c r="AB70" s="28"/>
      <c r="AC70" s="28"/>
      <c r="AD70" s="28">
        <f>549/549*3/3*-0.06</f>
        <v>-0.06</v>
      </c>
      <c r="AE70" s="28"/>
      <c r="AF70" s="28"/>
      <c r="AG70" s="85">
        <f t="shared" si="9"/>
        <v>45287.33</v>
      </c>
      <c r="AH70" s="64">
        <f t="shared" si="4"/>
        <v>-29429.64</v>
      </c>
    </row>
    <row r="71" spans="1:34" s="65" customFormat="1" ht="12.75">
      <c r="A71" s="2" t="s">
        <v>125</v>
      </c>
      <c r="B71" s="10"/>
      <c r="C71" s="21"/>
      <c r="D71" s="21">
        <f>(10/10*0+11/11)*10100+12/12*6000</f>
        <v>16100</v>
      </c>
      <c r="E71" s="21"/>
      <c r="F71" s="21"/>
      <c r="G71" s="21"/>
      <c r="H71" s="21"/>
      <c r="I71" s="21"/>
      <c r="J71" s="21"/>
      <c r="K71" s="21"/>
      <c r="L71" s="85">
        <f>SUM(B71:K71)</f>
        <v>16100</v>
      </c>
      <c r="M71" s="40"/>
      <c r="N71" s="79"/>
      <c r="O71" s="70"/>
      <c r="P71" s="70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85">
        <f>SUM(Q71:AF71)</f>
        <v>0</v>
      </c>
      <c r="AH71" s="64">
        <f>L71-AG71</f>
        <v>16100</v>
      </c>
    </row>
    <row r="72" spans="1:34" s="65" customFormat="1" ht="12.75">
      <c r="A72" s="19" t="s">
        <v>61</v>
      </c>
      <c r="B72" s="10"/>
      <c r="C72" s="21">
        <f>81600.82</f>
        <v>81600.82</v>
      </c>
      <c r="D72" s="21"/>
      <c r="E72" s="21"/>
      <c r="F72" s="21"/>
      <c r="G72" s="21"/>
      <c r="H72" s="21"/>
      <c r="I72" s="21"/>
      <c r="J72" s="21"/>
      <c r="K72" s="21"/>
      <c r="L72" s="85">
        <f t="shared" si="1"/>
        <v>81600.82</v>
      </c>
      <c r="M72" s="75">
        <f>D92-N70</f>
        <v>0</v>
      </c>
      <c r="N72" s="38"/>
      <c r="O72" s="40"/>
      <c r="P72" s="40"/>
      <c r="Q72" s="28">
        <f>1994.61</f>
        <v>1994.61</v>
      </c>
      <c r="R72" s="28"/>
      <c r="S72" s="28"/>
      <c r="T72" s="28"/>
      <c r="U72" s="28"/>
      <c r="V72" s="28"/>
      <c r="W72" s="28">
        <f>25340*0+3/3*29591</f>
        <v>29591</v>
      </c>
      <c r="X72" s="28"/>
      <c r="Y72" s="28"/>
      <c r="Z72" s="28"/>
      <c r="AA72" s="28"/>
      <c r="AB72" s="28"/>
      <c r="AC72" s="28"/>
      <c r="AD72" s="28">
        <f>549/549*0.4*0+3/3*0.2</f>
        <v>0.2</v>
      </c>
      <c r="AE72" s="28"/>
      <c r="AF72" s="28"/>
      <c r="AG72" s="85">
        <f t="shared" si="9"/>
        <v>31585.81</v>
      </c>
      <c r="AH72" s="64">
        <f t="shared" si="4"/>
        <v>50015.01000000001</v>
      </c>
    </row>
    <row r="73" spans="1:34" s="65" customFormat="1" ht="12.75" customHeight="1" hidden="1">
      <c r="A73" s="2" t="s">
        <v>26</v>
      </c>
      <c r="B73" s="10"/>
      <c r="C73" s="21"/>
      <c r="D73" s="21"/>
      <c r="E73" s="21"/>
      <c r="F73" s="21"/>
      <c r="G73" s="21"/>
      <c r="H73" s="21"/>
      <c r="I73" s="21"/>
      <c r="J73" s="21"/>
      <c r="K73" s="21"/>
      <c r="L73" s="85">
        <f t="shared" si="1"/>
        <v>0</v>
      </c>
      <c r="M73" s="38"/>
      <c r="N73" s="38"/>
      <c r="O73" s="40"/>
      <c r="P73" s="40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85">
        <f t="shared" si="9"/>
        <v>0</v>
      </c>
      <c r="AH73" s="64">
        <f t="shared" si="4"/>
        <v>0</v>
      </c>
    </row>
    <row r="74" spans="1:34" s="65" customFormat="1" ht="12.75" customHeight="1" hidden="1">
      <c r="A74" s="2" t="s">
        <v>44</v>
      </c>
      <c r="B74" s="10"/>
      <c r="C74" s="21"/>
      <c r="D74" s="21"/>
      <c r="E74" s="21"/>
      <c r="F74" s="21"/>
      <c r="G74" s="21"/>
      <c r="H74" s="21"/>
      <c r="I74" s="21"/>
      <c r="J74" s="21"/>
      <c r="K74" s="21"/>
      <c r="L74" s="85">
        <f t="shared" si="1"/>
        <v>0</v>
      </c>
      <c r="M74" s="38"/>
      <c r="N74" s="38"/>
      <c r="O74" s="40"/>
      <c r="P74" s="40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85">
        <f t="shared" si="9"/>
        <v>0</v>
      </c>
      <c r="AH74" s="64">
        <f t="shared" si="4"/>
        <v>0</v>
      </c>
    </row>
    <row r="75" spans="1:34" s="65" customFormat="1" ht="12.75">
      <c r="A75" s="3" t="s">
        <v>28</v>
      </c>
      <c r="B75" s="10"/>
      <c r="C75" s="21">
        <f>9124.17</f>
        <v>9124.17</v>
      </c>
      <c r="D75" s="43">
        <f>11671.2*0+23404.06*0+4/4*34294.46*0+5/5*44085.73*0+6/6*52822.05*0+7/7*59276.79*0+66860.65*0+9/9*74948.66*0+10/10*84091.63*0+11/11*95649.5*0+12/12*102440.06</f>
        <v>102440.06</v>
      </c>
      <c r="E75" s="31"/>
      <c r="F75" s="31"/>
      <c r="G75" s="31"/>
      <c r="H75" s="31"/>
      <c r="I75" s="31"/>
      <c r="J75" s="31"/>
      <c r="K75" s="31"/>
      <c r="L75" s="85">
        <f>SUM(B75:K75)</f>
        <v>111564.23</v>
      </c>
      <c r="M75" s="38"/>
      <c r="N75" s="38"/>
      <c r="O75" s="40"/>
      <c r="P75" s="40"/>
      <c r="Q75" s="28">
        <f>11/11*4200</f>
        <v>4200</v>
      </c>
      <c r="R75" s="28"/>
      <c r="S75" s="28"/>
      <c r="T75" s="28"/>
      <c r="U75" s="28"/>
      <c r="V75" s="28"/>
      <c r="W75" s="28">
        <f>7/7*2650</f>
        <v>2650</v>
      </c>
      <c r="X75" s="28"/>
      <c r="Y75" s="28"/>
      <c r="Z75" s="28"/>
      <c r="AA75" s="28"/>
      <c r="AB75" s="28"/>
      <c r="AC75" s="28"/>
      <c r="AD75" s="28"/>
      <c r="AE75" s="28"/>
      <c r="AF75" s="28">
        <f>569/569*499*0+3/3*767*0+4/4*1028*0+5/5*1263*0+6/6*1472*0+8/8*1627*0+9/9*2003*0+10/10*2185*0+12/12*2487</f>
        <v>2487</v>
      </c>
      <c r="AG75" s="85">
        <f>SUM(Q75:AF75)</f>
        <v>9337</v>
      </c>
      <c r="AH75" s="64">
        <f t="shared" si="4"/>
        <v>102227.23</v>
      </c>
    </row>
    <row r="76" spans="1:34" s="65" customFormat="1" ht="12.75" hidden="1">
      <c r="A76" s="3" t="s">
        <v>58</v>
      </c>
      <c r="B76" s="10"/>
      <c r="C76" s="21"/>
      <c r="D76" s="21"/>
      <c r="E76" s="21"/>
      <c r="F76" s="21"/>
      <c r="G76" s="21"/>
      <c r="H76" s="21"/>
      <c r="I76" s="21"/>
      <c r="J76" s="21"/>
      <c r="K76" s="21"/>
      <c r="L76" s="85">
        <f>SUM(B76:K76)</f>
        <v>0</v>
      </c>
      <c r="M76" s="38"/>
      <c r="N76" s="38"/>
      <c r="O76" s="40"/>
      <c r="P76" s="40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85">
        <f t="shared" si="9"/>
        <v>0</v>
      </c>
      <c r="AH76" s="64">
        <f t="shared" si="4"/>
        <v>0</v>
      </c>
    </row>
    <row r="77" spans="1:34" s="65" customFormat="1" ht="21" hidden="1">
      <c r="A77" s="3" t="s">
        <v>59</v>
      </c>
      <c r="B77" s="10"/>
      <c r="C77" s="21"/>
      <c r="D77" s="21"/>
      <c r="E77" s="21"/>
      <c r="F77" s="21"/>
      <c r="G77" s="21"/>
      <c r="H77" s="21"/>
      <c r="I77" s="21"/>
      <c r="J77" s="21"/>
      <c r="K77" s="21"/>
      <c r="L77" s="85">
        <f>SUM(B77:K77)</f>
        <v>0</v>
      </c>
      <c r="M77" s="38"/>
      <c r="N77" s="38"/>
      <c r="O77" s="40"/>
      <c r="P77" s="40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85">
        <f t="shared" si="9"/>
        <v>0</v>
      </c>
      <c r="AH77" s="64">
        <f t="shared" si="4"/>
        <v>0</v>
      </c>
    </row>
    <row r="78" spans="1:34" s="65" customFormat="1" ht="12.75" hidden="1">
      <c r="A78" s="17" t="s">
        <v>40</v>
      </c>
      <c r="B78" s="10"/>
      <c r="C78" s="21"/>
      <c r="D78" s="21"/>
      <c r="E78" s="21"/>
      <c r="F78" s="21"/>
      <c r="G78" s="21"/>
      <c r="H78" s="21"/>
      <c r="I78" s="21"/>
      <c r="J78" s="21"/>
      <c r="K78" s="21"/>
      <c r="L78" s="85">
        <f t="shared" si="1"/>
        <v>0</v>
      </c>
      <c r="M78" s="38"/>
      <c r="N78" s="38"/>
      <c r="O78" s="40"/>
      <c r="P78" s="40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85">
        <f t="shared" si="9"/>
        <v>0</v>
      </c>
      <c r="AH78" s="64">
        <f t="shared" si="4"/>
        <v>0</v>
      </c>
    </row>
    <row r="79" spans="1:34" s="65" customFormat="1" ht="12.75">
      <c r="A79" s="5" t="s">
        <v>99</v>
      </c>
      <c r="B79" s="10"/>
      <c r="C79" s="21">
        <f>10/10*61041.67</f>
        <v>61041.67</v>
      </c>
      <c r="D79" s="21"/>
      <c r="E79" s="21"/>
      <c r="F79" s="21"/>
      <c r="G79" s="21"/>
      <c r="H79" s="21"/>
      <c r="I79" s="21"/>
      <c r="J79" s="21"/>
      <c r="K79" s="21"/>
      <c r="L79" s="85">
        <f>SUM(B79:K79)</f>
        <v>61041.67</v>
      </c>
      <c r="M79" s="38"/>
      <c r="N79" s="38"/>
      <c r="O79" s="40"/>
      <c r="P79" s="40"/>
      <c r="Q79" s="28"/>
      <c r="R79" s="28"/>
      <c r="S79" s="28"/>
      <c r="T79" s="28"/>
      <c r="U79" s="28">
        <f>12/12*17217.5</f>
        <v>17217.5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85">
        <f aca="true" t="shared" si="10" ref="AG79:AG91">SUM(Q79:AF79)</f>
        <v>17217.5</v>
      </c>
      <c r="AH79" s="64">
        <f t="shared" si="4"/>
        <v>43824.17</v>
      </c>
    </row>
    <row r="80" spans="1:34" s="65" customFormat="1" ht="12.75" hidden="1">
      <c r="A80" s="5"/>
      <c r="B80" s="10"/>
      <c r="C80" s="21"/>
      <c r="D80" s="21"/>
      <c r="E80" s="21"/>
      <c r="F80" s="21"/>
      <c r="G80" s="21"/>
      <c r="H80" s="21"/>
      <c r="I80" s="21"/>
      <c r="J80" s="21"/>
      <c r="K80" s="21"/>
      <c r="L80" s="85">
        <f t="shared" si="1"/>
        <v>0</v>
      </c>
      <c r="M80" s="38"/>
      <c r="N80" s="38"/>
      <c r="O80" s="40"/>
      <c r="P80" s="4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85">
        <f t="shared" si="10"/>
        <v>0</v>
      </c>
      <c r="AH80" s="64">
        <f t="shared" si="4"/>
        <v>0</v>
      </c>
    </row>
    <row r="81" spans="1:34" s="65" customFormat="1" ht="12.75" hidden="1">
      <c r="A81" s="5"/>
      <c r="B81" s="10"/>
      <c r="C81" s="21"/>
      <c r="D81" s="21"/>
      <c r="E81" s="21"/>
      <c r="F81" s="21"/>
      <c r="G81" s="21"/>
      <c r="H81" s="21"/>
      <c r="I81" s="21"/>
      <c r="J81" s="21"/>
      <c r="K81" s="21"/>
      <c r="L81" s="85">
        <f t="shared" si="1"/>
        <v>0</v>
      </c>
      <c r="M81" s="38"/>
      <c r="N81" s="38"/>
      <c r="O81" s="40"/>
      <c r="P81" s="40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85">
        <f t="shared" si="10"/>
        <v>0</v>
      </c>
      <c r="AH81" s="64">
        <f t="shared" si="4"/>
        <v>0</v>
      </c>
    </row>
    <row r="82" spans="1:34" s="65" customFormat="1" ht="12.75" hidden="1">
      <c r="A82" s="5"/>
      <c r="B82" s="10"/>
      <c r="C82" s="21"/>
      <c r="D82" s="21"/>
      <c r="E82" s="21"/>
      <c r="F82" s="21"/>
      <c r="G82" s="21"/>
      <c r="H82" s="21"/>
      <c r="I82" s="21"/>
      <c r="J82" s="21"/>
      <c r="K82" s="21"/>
      <c r="L82" s="85">
        <f t="shared" si="1"/>
        <v>0</v>
      </c>
      <c r="M82" s="38"/>
      <c r="N82" s="38"/>
      <c r="O82" s="40"/>
      <c r="P82" s="40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85">
        <f t="shared" si="10"/>
        <v>0</v>
      </c>
      <c r="AH82" s="64">
        <f t="shared" si="4"/>
        <v>0</v>
      </c>
    </row>
    <row r="83" spans="1:34" s="65" customFormat="1" ht="12.75" hidden="1">
      <c r="A83" s="5"/>
      <c r="B83" s="10"/>
      <c r="C83" s="21"/>
      <c r="D83" s="21"/>
      <c r="E83" s="21"/>
      <c r="F83" s="21"/>
      <c r="G83" s="21"/>
      <c r="H83" s="21"/>
      <c r="I83" s="21"/>
      <c r="J83" s="21"/>
      <c r="K83" s="21"/>
      <c r="L83" s="85">
        <f t="shared" si="1"/>
        <v>0</v>
      </c>
      <c r="M83" s="38"/>
      <c r="N83" s="38"/>
      <c r="O83" s="40"/>
      <c r="P83" s="40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85">
        <f t="shared" si="10"/>
        <v>0</v>
      </c>
      <c r="AH83" s="64">
        <f t="shared" si="4"/>
        <v>0</v>
      </c>
    </row>
    <row r="84" spans="1:34" s="65" customFormat="1" ht="12.75" hidden="1">
      <c r="A84" s="5" t="s">
        <v>60</v>
      </c>
      <c r="B84" s="10"/>
      <c r="C84" s="21"/>
      <c r="D84" s="21"/>
      <c r="E84" s="21"/>
      <c r="F84" s="21"/>
      <c r="G84" s="21"/>
      <c r="H84" s="21"/>
      <c r="I84" s="21"/>
      <c r="J84" s="21"/>
      <c r="K84" s="21"/>
      <c r="L84" s="85">
        <f t="shared" si="1"/>
        <v>0</v>
      </c>
      <c r="M84" s="38"/>
      <c r="N84" s="38"/>
      <c r="O84" s="40"/>
      <c r="P84" s="40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85">
        <f t="shared" si="10"/>
        <v>0</v>
      </c>
      <c r="AH84" s="64">
        <f t="shared" si="4"/>
        <v>0</v>
      </c>
    </row>
    <row r="85" spans="1:34" s="65" customFormat="1" ht="12.75" hidden="1">
      <c r="A85" s="5" t="s">
        <v>47</v>
      </c>
      <c r="B85" s="10"/>
      <c r="C85" s="21"/>
      <c r="D85" s="21"/>
      <c r="E85" s="21"/>
      <c r="F85" s="21"/>
      <c r="G85" s="21"/>
      <c r="H85" s="21"/>
      <c r="I85" s="21"/>
      <c r="J85" s="21"/>
      <c r="K85" s="21"/>
      <c r="L85" s="85">
        <f t="shared" si="1"/>
        <v>0</v>
      </c>
      <c r="M85" s="38"/>
      <c r="N85" s="38"/>
      <c r="O85" s="40"/>
      <c r="P85" s="40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85">
        <f aca="true" t="shared" si="11" ref="AG85:AG90">SUM(Q85:AF85)</f>
        <v>0</v>
      </c>
      <c r="AH85" s="64">
        <f t="shared" si="4"/>
        <v>0</v>
      </c>
    </row>
    <row r="86" spans="1:34" s="65" customFormat="1" ht="12.75">
      <c r="A86" s="5" t="s">
        <v>101</v>
      </c>
      <c r="B86" s="10"/>
      <c r="C86" s="21"/>
      <c r="D86" s="21">
        <f>11/11*139500*0+12/12*186000</f>
        <v>186000</v>
      </c>
      <c r="E86" s="21"/>
      <c r="F86" s="21"/>
      <c r="G86" s="21"/>
      <c r="H86" s="21"/>
      <c r="I86" s="21"/>
      <c r="J86" s="21"/>
      <c r="K86" s="21"/>
      <c r="L86" s="85">
        <f t="shared" si="1"/>
        <v>186000</v>
      </c>
      <c r="M86" s="38"/>
      <c r="N86" s="38"/>
      <c r="O86" s="40"/>
      <c r="P86" s="40"/>
      <c r="Q86" s="28"/>
      <c r="R86" s="28"/>
      <c r="S86" s="28"/>
      <c r="T86" s="28"/>
      <c r="U86" s="28">
        <f>10/10*19559</f>
        <v>19559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85">
        <f t="shared" si="11"/>
        <v>19559</v>
      </c>
      <c r="AH86" s="64">
        <f t="shared" si="4"/>
        <v>166441</v>
      </c>
    </row>
    <row r="87" spans="1:34" s="65" customFormat="1" ht="12.75" hidden="1">
      <c r="A87" s="5" t="s">
        <v>48</v>
      </c>
      <c r="B87" s="10"/>
      <c r="C87" s="21"/>
      <c r="D87" s="21"/>
      <c r="E87" s="21"/>
      <c r="F87" s="21"/>
      <c r="G87" s="21"/>
      <c r="H87" s="21"/>
      <c r="I87" s="21"/>
      <c r="J87" s="21"/>
      <c r="K87" s="21"/>
      <c r="L87" s="85">
        <f t="shared" si="1"/>
        <v>0</v>
      </c>
      <c r="M87" s="38"/>
      <c r="N87" s="38"/>
      <c r="O87" s="40"/>
      <c r="P87" s="40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85">
        <f t="shared" si="11"/>
        <v>0</v>
      </c>
      <c r="AH87" s="64">
        <f t="shared" si="4"/>
        <v>0</v>
      </c>
    </row>
    <row r="88" spans="1:34" s="65" customFormat="1" ht="12.75">
      <c r="A88" s="5" t="s">
        <v>72</v>
      </c>
      <c r="B88" s="10"/>
      <c r="C88" s="21"/>
      <c r="D88" s="43">
        <f>7/7*67350+10/10*22450</f>
        <v>89800</v>
      </c>
      <c r="E88" s="31"/>
      <c r="F88" s="31"/>
      <c r="G88" s="31"/>
      <c r="H88" s="31"/>
      <c r="I88" s="31"/>
      <c r="J88" s="31"/>
      <c r="K88" s="31"/>
      <c r="L88" s="85">
        <f>SUM(B88:K88)</f>
        <v>89800</v>
      </c>
      <c r="M88" s="38"/>
      <c r="N88" s="38"/>
      <c r="O88" s="40"/>
      <c r="P88" s="40"/>
      <c r="Q88" s="28"/>
      <c r="R88" s="28"/>
      <c r="S88" s="28"/>
      <c r="T88" s="28"/>
      <c r="U88" s="29">
        <f>7/7*5831</f>
        <v>5831</v>
      </c>
      <c r="V88" s="29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85">
        <f t="shared" si="11"/>
        <v>5831</v>
      </c>
      <c r="AH88" s="64">
        <f>L88-AG88</f>
        <v>83969</v>
      </c>
    </row>
    <row r="89" spans="1:34" s="65" customFormat="1" ht="12.75" customHeight="1">
      <c r="A89" s="5" t="s">
        <v>86</v>
      </c>
      <c r="B89" s="10"/>
      <c r="C89" s="21">
        <f>9/9*7291.37</f>
        <v>7291.37</v>
      </c>
      <c r="D89" s="21"/>
      <c r="E89" s="21"/>
      <c r="F89" s="21"/>
      <c r="G89" s="21"/>
      <c r="H89" s="21"/>
      <c r="I89" s="21"/>
      <c r="J89" s="21"/>
      <c r="K89" s="21"/>
      <c r="L89" s="85">
        <f>SUM(B89:K89)</f>
        <v>7291.37</v>
      </c>
      <c r="M89" s="30"/>
      <c r="N89" s="38"/>
      <c r="O89" s="40"/>
      <c r="P89" s="40"/>
      <c r="Q89" s="28"/>
      <c r="R89" s="28"/>
      <c r="S89" s="28"/>
      <c r="T89" s="28"/>
      <c r="U89" s="29">
        <f>12/12*6408.3</f>
        <v>6408.3</v>
      </c>
      <c r="V89" s="29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85">
        <f t="shared" si="11"/>
        <v>6408.3</v>
      </c>
      <c r="AH89" s="64">
        <f>L89-AG89</f>
        <v>883.0699999999997</v>
      </c>
    </row>
    <row r="90" spans="1:34" s="33" customFormat="1" ht="12.75">
      <c r="A90" s="50" t="s">
        <v>85</v>
      </c>
      <c r="C90" s="30"/>
      <c r="D90" s="30"/>
      <c r="E90" s="30"/>
      <c r="F90" s="30"/>
      <c r="G90" s="30"/>
      <c r="H90" s="30"/>
      <c r="I90" s="30"/>
      <c r="J90" s="18"/>
      <c r="K90" s="30"/>
      <c r="L90" s="85">
        <f>SUM(B90:K90)</f>
        <v>0</v>
      </c>
      <c r="M90" s="38"/>
      <c r="N90" s="38"/>
      <c r="O90" s="73" t="e">
        <f>D91-O91</f>
        <v>#VALUE!</v>
      </c>
      <c r="P90" s="80" t="s">
        <v>92</v>
      </c>
      <c r="Q90" s="26"/>
      <c r="R90" s="26"/>
      <c r="S90" s="42">
        <f>8/8*6399*0*12/12</f>
        <v>0</v>
      </c>
      <c r="T90" s="26"/>
      <c r="U90" s="26"/>
      <c r="V90" s="26"/>
      <c r="W90" s="42"/>
      <c r="X90" s="26"/>
      <c r="Y90" s="26"/>
      <c r="Z90" s="26"/>
      <c r="AA90" s="26"/>
      <c r="AB90" s="26"/>
      <c r="AC90" s="26"/>
      <c r="AD90" s="42"/>
      <c r="AE90" s="42"/>
      <c r="AF90" s="26"/>
      <c r="AG90" s="85">
        <f t="shared" si="11"/>
        <v>0</v>
      </c>
      <c r="AH90" s="64">
        <f>L90-AG90</f>
        <v>0</v>
      </c>
    </row>
    <row r="91" spans="1:34" s="65" customFormat="1" ht="12" customHeight="1">
      <c r="A91" s="2" t="s">
        <v>126</v>
      </c>
      <c r="B91" s="10"/>
      <c r="C91" s="21">
        <f>12/12*248011/248011*59280+248/248*(111/111*700+211/211*100)+255511/255511*90025.57+255611/255611*14712.74+262011/262011*386400</f>
        <v>551218.31</v>
      </c>
      <c r="D91" s="21">
        <f>2/2*(4040646.07-3100676.08-939969.99*0)*0+3/3*(6357365.91-4306133.52*0-3403929.7)*0+4/4*(8434084.56-6308982.07)*0+5/5*(10197984.7-10065155.5*0-7951719.2)*0+6/6*(11916776.36-11717787.87*0-9471522.37)*0+7/7*(14122234.66-11119597.49)*0+8/8*(15577724.6-12672216.87)*0+9/9*(17849027.44-14320577.31)*0+10/10*(20778952.05-16284573.87)*0+11/11*(25581089.25-25780076.48*0-21285698.3*0-21148548.08)*0+12/12*(23892190.46-19359256.26)-170306/170306*D88*0-12/12*(C91)</f>
        <v>3981715.889999999</v>
      </c>
      <c r="E91" s="21"/>
      <c r="F91" s="21"/>
      <c r="G91" s="21"/>
      <c r="H91" s="21"/>
      <c r="I91" s="21">
        <f>3/3*43898/43898*266.67+187708/187708*1+246811/246811*3</f>
        <v>270.67</v>
      </c>
      <c r="J91" s="49">
        <f>3/3*249811/249811*37498.5+11/11*264511/264511*10000*0</f>
        <v>37498.5</v>
      </c>
      <c r="K91" s="34"/>
      <c r="L91" s="85">
        <f t="shared" si="1"/>
        <v>4570703.369999999</v>
      </c>
      <c r="M91" s="38"/>
      <c r="N91" s="38"/>
      <c r="O91" s="73" t="e">
        <f>N66*0+O66+N69</f>
        <v>#VALUE!</v>
      </c>
      <c r="P91" s="80" t="s">
        <v>91</v>
      </c>
      <c r="Q91" s="74"/>
      <c r="R91" s="74"/>
      <c r="S91" s="74">
        <f>741600/741600*6399*0</f>
        <v>0</v>
      </c>
      <c r="T91" s="74"/>
      <c r="U91" s="74">
        <f>10/10*(189408/189408*187000+239410/239410*112036+256811/256811*53880)+11/11*253911/253911*12637.1+12/12*187808/187808*8052</f>
        <v>373605.1</v>
      </c>
      <c r="V91" s="74"/>
      <c r="W91" s="74">
        <f>146505/146505*100+67199/67199*1500+6/6*432011/432011*3600+9/9*(68799/68799*3600+1412011/1412011*2800)+10/10*12574/12574*3600*0*11/11</f>
        <v>11600</v>
      </c>
      <c r="X91" s="74"/>
      <c r="Y91" s="74"/>
      <c r="Z91" s="74"/>
      <c r="AA91" s="74"/>
      <c r="AB91" s="74"/>
      <c r="AC91" s="74"/>
      <c r="AD91" s="74">
        <f>175207/175207*0.5+8/8*95902/95902*0.25+11/11*253911/253911*0.1</f>
        <v>0.85</v>
      </c>
      <c r="AE91" s="74"/>
      <c r="AF91" s="74">
        <f>556/556*12/12*(39498/39498*168+47798/47798*14522.5+52398/52398*42436.35+62799/62799*6435+138405/138405*60177.35+157206/157206*78.75)</f>
        <v>123817.95</v>
      </c>
      <c r="AG91" s="85">
        <f t="shared" si="10"/>
        <v>509023.89999999997</v>
      </c>
      <c r="AH91" s="64">
        <f t="shared" si="4"/>
        <v>4061679.4699999993</v>
      </c>
    </row>
    <row r="92" spans="1:34" s="81" customFormat="1" ht="12.75">
      <c r="A92" s="5"/>
      <c r="B92" s="10"/>
      <c r="C92" s="87">
        <f aca="true" t="shared" si="12" ref="C92:I92">SUM(C3:C91)</f>
        <v>2268006.48</v>
      </c>
      <c r="D92" s="87">
        <f t="shared" si="12"/>
        <v>20691016.59</v>
      </c>
      <c r="E92" s="87">
        <f t="shared" si="12"/>
        <v>207399.1009090909</v>
      </c>
      <c r="F92" s="87">
        <f t="shared" si="12"/>
        <v>1000</v>
      </c>
      <c r="G92" s="87">
        <f t="shared" si="12"/>
        <v>29040</v>
      </c>
      <c r="H92" s="87">
        <f t="shared" si="12"/>
        <v>0</v>
      </c>
      <c r="I92" s="87">
        <f t="shared" si="12"/>
        <v>-2453311.7199999997</v>
      </c>
      <c r="J92" s="87">
        <f aca="true" t="shared" si="13" ref="J92:Y92">SUM(J3:J91)</f>
        <v>3033698.5</v>
      </c>
      <c r="K92" s="87">
        <f>SUM(K3:K91)</f>
        <v>115341.51000000001</v>
      </c>
      <c r="L92" s="85">
        <f t="shared" si="13"/>
        <v>23892190.4609091</v>
      </c>
      <c r="M92" s="38"/>
      <c r="N92" s="38"/>
      <c r="O92" s="40">
        <f>123/123*(421975+423119-219515/(1+0.09+0.25)*0-(16105+7130+34741+15613+18606+18079+14335+14636+16044+17062/2))+456/456*(458173+403238-217658/(1+0.09+0.25)*0-(15705+7557+710+34071+15213+18774+709+17679+15206+15326+16044+5432/2*2))-X92</f>
        <v>-1430907.5</v>
      </c>
      <c r="P92" s="40">
        <f>123/123*(142650+142334-(5476+2426+11811+5310+6326+6148+4873+4975+5451+5798/2))+456/456*(154974+133485-(5340+2569+(243/2+0.5)+11586+5174+6381+244+6014+5171+5213+5451+1846/2*2))-Y92</f>
        <v>-475279.5</v>
      </c>
      <c r="Q92" s="87">
        <f t="shared" si="13"/>
        <v>168422.63999999998</v>
      </c>
      <c r="R92" s="87"/>
      <c r="S92" s="87">
        <f t="shared" si="13"/>
        <v>721330.97</v>
      </c>
      <c r="T92" s="87">
        <f t="shared" si="13"/>
        <v>0</v>
      </c>
      <c r="U92" s="87">
        <f t="shared" si="13"/>
        <v>1985599.21</v>
      </c>
      <c r="V92" s="87"/>
      <c r="W92" s="87">
        <f t="shared" si="13"/>
        <v>1237021.38</v>
      </c>
      <c r="X92" s="87">
        <f t="shared" si="13"/>
        <v>2811166.5</v>
      </c>
      <c r="Y92" s="87">
        <f t="shared" si="13"/>
        <v>937916.5</v>
      </c>
      <c r="Z92" s="87"/>
      <c r="AA92" s="87">
        <f aca="true" t="shared" si="14" ref="AA92:AG92">SUM(AA3:AA91)</f>
        <v>407720</v>
      </c>
      <c r="AB92" s="85">
        <f t="shared" si="14"/>
        <v>0</v>
      </c>
      <c r="AC92" s="85">
        <f t="shared" si="14"/>
        <v>0</v>
      </c>
      <c r="AD92" s="87">
        <f t="shared" si="14"/>
        <v>40580.78</v>
      </c>
      <c r="AE92" s="87">
        <f t="shared" si="14"/>
        <v>338212</v>
      </c>
      <c r="AF92" s="87">
        <f t="shared" si="14"/>
        <v>168039.85</v>
      </c>
      <c r="AG92" s="85">
        <f t="shared" si="14"/>
        <v>8816009.83</v>
      </c>
      <c r="AH92" s="87">
        <f>SUM(AH3:AH91)</f>
        <v>15076180.630909089</v>
      </c>
    </row>
    <row r="93" spans="1:34" s="22" customFormat="1" ht="11.25">
      <c r="A93" s="35"/>
      <c r="C93" s="26">
        <f>307157.67*0+3/3*411253.76*0+4/4*511652.61*0+5/5*625069*0+7/7*777267.01*0+8/8*840432*0+9/9*1096786.39*0+10/10*1326242.46*0+11/11*1523171.42*0+12/12*2268006.48-C92</f>
        <v>0</v>
      </c>
      <c r="D93" s="26">
        <f>3665890.78*0+3/3*5711920.81*0+4/4*7553666.75*0+5/5*9041337.35*0+7/7*12513435.87*0+8/8*13773200.95*0+9/9*15759447.23*0+10/10*18215969.46*0+11/11*19700204.65*0+12/12*20691016.59-D92</f>
        <v>0</v>
      </c>
      <c r="E93" s="24">
        <f>3/3*104146.46*0+4/4*134692.21*0+5/5*157283.34*0+7/7*176728.88*0+8/8*181501.65*0+9/9*186774.43*0+10/10*203262.64*0+11/11*196344.49*0+12/12*207399.1-E92</f>
        <v>-0.0009090908861253411</v>
      </c>
      <c r="F93" s="24">
        <f>1000-F92</f>
        <v>0</v>
      </c>
      <c r="G93" s="24">
        <f>641/641*(1366*0+3/3*3371*0+5/5*4737*0+7/7*5946*0+8/8*6472*0+9/9*8498*0+10/10*24838*0+11/11*25509*0+12/12*26040)+642/642*(4/4*2183*0+5/5*3000)-G92</f>
        <v>0</v>
      </c>
      <c r="H93" s="24"/>
      <c r="I93" s="24">
        <f>65231.62*0+3/3*55833.39*0+4/4*157678.5*0+5/5*157677.52*0+7/7*410205.04*0+8/8*410205.14*0+9/9*410206.2*0+10/10*621324.3*0+11/11*1017645.5*0+12/12*-2453311.72-I92</f>
        <v>0</v>
      </c>
      <c r="J93" s="24">
        <f>646/646*(3/3*37498.5*0+11/11*47498.5)+647/647*(5/5*138040*0+8/8*265301*0+11/11*2986200)-J92</f>
        <v>0</v>
      </c>
      <c r="K93" s="24">
        <f>662/662*3/3*32341.99*0+7/7*59113.36*0+9/9*80515.69*0+12/12*115341.51-K92</f>
        <v>0</v>
      </c>
      <c r="L93" s="36">
        <f>4040646.07*0+3/3*6357365.91*0+4/4*8434084.56*0+5/5*10197984.7*0+6/6*11916776.36*0+7/7*14122234.66*0+8/8*15577724.6*0+9/9*17849027.44*0+10/10*20778952.05*0+11/11*25581089.25*0+12/12*23892190.46-L92</f>
        <v>-0.0009090974926948547</v>
      </c>
      <c r="M93" s="82"/>
      <c r="N93" s="82"/>
      <c r="O93" s="66">
        <f>O24+O33</f>
        <v>-428355.5</v>
      </c>
      <c r="P93" s="66">
        <f>P24+P33</f>
        <v>-141666.5</v>
      </c>
      <c r="Q93" s="36">
        <f>36544.26*0+3/3*38315.49*0+4/4*41248.32*0+5/5*43134.43*0+7/7*58070.68*0+8/8*83853.66*0+9/9*149945.73*0+10/10*152426.21*0+11/11*157836.96*0+12/12*168422.64-Q92</f>
        <v>0</v>
      </c>
      <c r="R93" s="36"/>
      <c r="S93" s="36">
        <f>-184*0+3/3*62*0+4/4*439*0+5/5*1239*0+7/7*10755*0+8/8*10989*0+10/10*590547.3*0+11/11*695104.3*0+12/12*721330.97-S92</f>
        <v>0</v>
      </c>
      <c r="T93" s="36"/>
      <c r="U93" s="36">
        <f>172607*0+3/3*373811*0+4/4*427911*0+5/5*427911*0+7/7*616613.09*0+8/8*804484.09*0+9/9*825017.41*0+10/10*1307485.01*0+11/11*1839118.01*0+12/12*1985599.21-U92</f>
        <v>0</v>
      </c>
      <c r="V93" s="36"/>
      <c r="W93" s="36">
        <f>166044.51*0+3/3*221658.78*0+4/4*294661.59*0+5/5*384444.82*0+7/7*495051.33*0+8/8*541396.9*0+9/9*641305.42*0+10/10*862322.1*0+11/11*1042127.91*0+12/12*1237021.38-W92</f>
        <v>0</v>
      </c>
      <c r="X93" s="36">
        <f>4/4*672743*0+8/8*1371728*0+10/10*1821540*0+11/11*2048082*0+12/12*2811166.5-X92</f>
        <v>0</v>
      </c>
      <c r="Y93" s="36">
        <f>4/4*226390*0+8/8*461705*0+10/10*612019*0+11/11*685684*0+12/12*937916.5-Y92</f>
        <v>0</v>
      </c>
      <c r="Z93" s="36"/>
      <c r="AA93" s="36">
        <f>532/532*7/7*1446+3/3*225399*0+4/4*253872*0+7/7*323988*0+9/9*331953*0+10/10*390840*0+12/12*406274-AA92</f>
        <v>0</v>
      </c>
      <c r="AB93" s="36"/>
      <c r="AC93" s="36"/>
      <c r="AD93" s="36">
        <f>549/549*0.58*0+3/3*-0.23*0+4/4*-0.56*0+5/5*-0.76*0+7/7*-1.19*0+8/8*40583.76*0+9/9*40582.96*0+11/11*40578.56*0+12/12*40580.78+11/11*541/541*257*0*12/12-AD92</f>
        <v>0</v>
      </c>
      <c r="AE93" s="36">
        <f>554/554*(8/8*14353*0+11/11*186212)+11/11*553/553*152000-AE92</f>
        <v>0</v>
      </c>
      <c r="AF93" s="36">
        <f>(1917*0+3/3*7850.5*0+4/4*8835.5*0+5/5*9824.5*0+7/7*15976.5*0+8/8*16930.5*0+9/9*22466.5*0+10/10*23457*0+11/11*24239.75*0+12/12*31266.5)+556/556*12/12*136773.35-AF92</f>
        <v>0</v>
      </c>
      <c r="AG93" s="36">
        <f>376929.35*0+3/3*867096.54*0+4/4*1926099.85*0+5/5*2019557.99*0+6/6*2154238.86*0+7/7*2421032.41*0+8/8*3671457.91*0+9/9*3871492.04*0+10/10*5817018.58*0+11/11*7263526.49*0+12/12*8816009.83-AG92</f>
        <v>0</v>
      </c>
      <c r="AH93" s="89">
        <f>L92-AG92</f>
        <v>15076180.630909098</v>
      </c>
    </row>
    <row r="94" spans="1:33" s="22" customFormat="1" ht="12">
      <c r="A94" s="35"/>
      <c r="C94" s="24"/>
      <c r="D94" s="24"/>
      <c r="E94" s="24"/>
      <c r="F94" s="24"/>
      <c r="G94" s="83" t="s">
        <v>110</v>
      </c>
      <c r="H94" s="24"/>
      <c r="I94" s="18">
        <v>3536388.05</v>
      </c>
      <c r="J94" s="24"/>
      <c r="K94" s="24"/>
      <c r="L94" s="36">
        <f>SUM(C93:K93)</f>
        <v>-0.0009090908861253411</v>
      </c>
      <c r="M94" s="82"/>
      <c r="N94" s="82"/>
      <c r="O94" s="66">
        <f>O93-O92</f>
        <v>1002552</v>
      </c>
      <c r="P94" s="66">
        <f>P93-P92</f>
        <v>333613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36">
        <f>SUM(Q93:AF93)</f>
        <v>0</v>
      </c>
    </row>
  </sheetData>
  <sheetProtection password="CC4F" sheet="1" objects="1" scenarios="1"/>
  <mergeCells count="2">
    <mergeCell ref="C1:L1"/>
    <mergeCell ref="Q1:AG1"/>
  </mergeCells>
  <printOptions gridLines="1"/>
  <pageMargins left="0.07874015748031496" right="0" top="0.5118110236220472" bottom="0.31496062992125984" header="0.31496062992125984" footer="0.2755905511811024"/>
  <pageSetup fitToWidth="2" horizontalDpi="200" verticalDpi="200" orientation="landscape" paperSize="9" scale="68" r:id="rId1"/>
  <headerFooter alignWithMargins="0">
    <oddHeader>&amp;L&amp;"Arial,tučné kurzíva"&amp;11Ekonomická činnost MČ 1-12/2011&amp;R&amp;"Arial,tučné kurzíva"ZMČ 20.06.2012 příl 2b/
</oddHeader>
    <oddFooter>&amp;L&amp;F&amp;R&amp;P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2012-06-04T12:38:38Z</cp:lastPrinted>
  <dcterms:created xsi:type="dcterms:W3CDTF">2010-02-16T05:05:18Z</dcterms:created>
  <dcterms:modified xsi:type="dcterms:W3CDTF">2012-06-04T12:38:41Z</dcterms:modified>
  <cp:category/>
  <cp:version/>
  <cp:contentType/>
  <cp:contentStatus/>
</cp:coreProperties>
</file>