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8450" windowHeight="492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'List1'!$A:$A,'List1'!$1:$3</definedName>
  </definedNames>
  <calcPr fullCalcOnLoad="1"/>
</workbook>
</file>

<file path=xl/sharedStrings.xml><?xml version="1.0" encoding="utf-8"?>
<sst xmlns="http://schemas.openxmlformats.org/spreadsheetml/2006/main" count="278" uniqueCount="170">
  <si>
    <t>3421 dětská hřiště</t>
  </si>
  <si>
    <t>3745 veř.zeleň</t>
  </si>
  <si>
    <t>3111 mat.škola</t>
  </si>
  <si>
    <t>3141 škol.jídelna</t>
  </si>
  <si>
    <t>3231 zákl.uměl.</t>
  </si>
  <si>
    <t>4351/4 přísp.stravné</t>
  </si>
  <si>
    <t>4319 soc. péče</t>
  </si>
  <si>
    <t>4329 péče o mládež</t>
  </si>
  <si>
    <t>4359 ost.soc</t>
  </si>
  <si>
    <t>3314 knihovna</t>
  </si>
  <si>
    <t>3319 kult.střed</t>
  </si>
  <si>
    <t>3412 sport.hala</t>
  </si>
  <si>
    <t>3639,3632 techn.sl</t>
  </si>
  <si>
    <t>6112 ZMČ</t>
  </si>
  <si>
    <t>V Ý D A J E</t>
  </si>
  <si>
    <t>P Ř Í J M Y</t>
  </si>
  <si>
    <t xml:space="preserve"> =250*1397/1000+0,75</t>
  </si>
  <si>
    <t>3121 gymnazium</t>
  </si>
  <si>
    <t>ŠJ objekt</t>
  </si>
  <si>
    <t>Účelové prostředky poskytnuté státem a HMP:</t>
  </si>
  <si>
    <t>účelové dotace CELKEM</t>
  </si>
  <si>
    <t>MČ vlastní CELKEM</t>
  </si>
  <si>
    <t>MČ P 16 CELKEM</t>
  </si>
  <si>
    <t>4351/1 DPS čp. 461</t>
  </si>
  <si>
    <t>org 2 osvětl.kostela</t>
  </si>
  <si>
    <t>org 16 Noviny P 16</t>
  </si>
  <si>
    <t>6171 objekt 732</t>
  </si>
  <si>
    <t>upravený rozpočet</t>
  </si>
  <si>
    <t>stát:</t>
  </si>
  <si>
    <t>HMP:</t>
  </si>
  <si>
    <t xml:space="preserve">     mzdy st.správa</t>
  </si>
  <si>
    <t xml:space="preserve">     mzdy SPOD</t>
  </si>
  <si>
    <t xml:space="preserve">     náklady soc.agendy</t>
  </si>
  <si>
    <t>1517 MMB</t>
  </si>
  <si>
    <t>dat.schr. 011109</t>
  </si>
  <si>
    <t>výsledek:</t>
  </si>
  <si>
    <t>4351/2 NDPS čp 1522</t>
  </si>
  <si>
    <t>rozdíl</t>
  </si>
  <si>
    <r>
      <t xml:space="preserve">02 </t>
    </r>
    <r>
      <rPr>
        <sz val="9"/>
        <rFont val="Arial"/>
        <family val="0"/>
      </rPr>
      <t>provoz Sběrn.dv</t>
    </r>
  </si>
  <si>
    <t>dotace stát:</t>
  </si>
  <si>
    <t>vratky dávek:</t>
  </si>
  <si>
    <t>05 MPSV grant PS</t>
  </si>
  <si>
    <t>4112 dotace stát:</t>
  </si>
  <si>
    <t xml:space="preserve">2141 úroky: </t>
  </si>
  <si>
    <t>2460 splátky půjček SFZ:</t>
  </si>
  <si>
    <t>6171 objekt 21</t>
  </si>
  <si>
    <t xml:space="preserve">2210 sankce: </t>
  </si>
  <si>
    <r>
      <t>dary</t>
    </r>
    <r>
      <rPr>
        <sz val="7"/>
        <rFont val="Arial"/>
        <family val="2"/>
      </rPr>
      <t xml:space="preserve"> 2321 neinv 3121 inv 4129 SO: </t>
    </r>
  </si>
  <si>
    <t xml:space="preserve">2212 sankce - splátky: </t>
  </si>
  <si>
    <t>2343 dobýv.prostor:</t>
  </si>
  <si>
    <t>1341-5,7,51 místní poplatky:</t>
  </si>
  <si>
    <t>1361 správní poplatky:</t>
  </si>
  <si>
    <t>1511 daň z nemovitostí:</t>
  </si>
  <si>
    <t>4121 HMP dotace:</t>
  </si>
  <si>
    <t>4131 z účtu ekon.činnosti:</t>
  </si>
  <si>
    <t>2328 neidentifkované příjmy:</t>
  </si>
  <si>
    <t>3319 letopis.komise</t>
  </si>
  <si>
    <t>3319 kronika</t>
  </si>
  <si>
    <t>05   SOC. A  ZDRAV.</t>
  </si>
  <si>
    <t>06   KULTURA  A  SPORT</t>
  </si>
  <si>
    <t>04   Š K O L S T V Í</t>
  </si>
  <si>
    <t>02   ROZVOJ  OBCE</t>
  </si>
  <si>
    <t>03   D O P R A V A</t>
  </si>
  <si>
    <t>09   VNITŘNÍ  SPRÁVA</t>
  </si>
  <si>
    <t>10   FINANCOVÁNÍ</t>
  </si>
  <si>
    <t>3421 org 11106 Skatepark</t>
  </si>
  <si>
    <r>
      <t>2310</t>
    </r>
    <r>
      <rPr>
        <sz val="8"/>
        <rFont val="Arial"/>
        <family val="0"/>
      </rPr>
      <t xml:space="preserve"> voda</t>
    </r>
  </si>
  <si>
    <r>
      <t xml:space="preserve">2219 ost.zál.komun </t>
    </r>
    <r>
      <rPr>
        <sz val="8"/>
        <rFont val="Arial"/>
        <family val="0"/>
      </rPr>
      <t>vč osvětl SH</t>
    </r>
  </si>
  <si>
    <t>05 Příspěvek na péči UZ 13235</t>
  </si>
  <si>
    <r>
      <t>05 SOC</t>
    </r>
    <r>
      <rPr>
        <sz val="8"/>
        <rFont val="Arial"/>
        <family val="0"/>
      </rPr>
      <t xml:space="preserve"> inval -dar.sml</t>
    </r>
  </si>
  <si>
    <t>06 knižní fond</t>
  </si>
  <si>
    <t>09 ZOZ</t>
  </si>
  <si>
    <t>úprava rozpočtu HMP, stát</t>
  </si>
  <si>
    <t>3636 územní rozvoj</t>
  </si>
  <si>
    <t>01   ÚZEMNÍ   ROZVOJ</t>
  </si>
  <si>
    <t>08    HOSPODÁŘSTVÍ</t>
  </si>
  <si>
    <t>výsledek vlastní MČ:</t>
  </si>
  <si>
    <t>3722 Sběrný dvůr dofin MČ</t>
  </si>
  <si>
    <t>org 241210 vánoce</t>
  </si>
  <si>
    <t>Rozpočet 2011</t>
  </si>
  <si>
    <t>vlastní úpravy MČ 3,6/2011</t>
  </si>
  <si>
    <t>vlastní úpravy MČ 9/2011</t>
  </si>
  <si>
    <t>vlastní úpravy MČ 12/2011</t>
  </si>
  <si>
    <t xml:space="preserve">4351 peč.služba </t>
  </si>
  <si>
    <t>3412 sportoviště</t>
  </si>
  <si>
    <t>org 241211 vánoce</t>
  </si>
  <si>
    <t>4121 výnos DPPO za r. 2010:</t>
  </si>
  <si>
    <t>2329 nahodilé (z r. 2010):</t>
  </si>
  <si>
    <t>2221 FV 2010:</t>
  </si>
  <si>
    <t>07  B E Z P E Č N O S T</t>
  </si>
  <si>
    <t>05 Hm.nouze a ZP UZ 13306</t>
  </si>
  <si>
    <t>výsledek účelové prostředky:</t>
  </si>
  <si>
    <t>3639 komun.služby</t>
  </si>
  <si>
    <t>4351/3 SZ (opr.konvekt)</t>
  </si>
  <si>
    <t>mobiliář org 41083</t>
  </si>
  <si>
    <t>09 SLBD UZ 98005</t>
  </si>
  <si>
    <t>09 výkon agendy SPOD UZ 98216</t>
  </si>
  <si>
    <t>09 výkon agendy soc.sl UZ 98116</t>
  </si>
  <si>
    <t>sl. 22</t>
  </si>
  <si>
    <t>sl. 7</t>
  </si>
  <si>
    <t xml:space="preserve">     mzdy soc.péče čerpání UZ</t>
  </si>
  <si>
    <t xml:space="preserve">     mzdy SPOD čerpání UZ</t>
  </si>
  <si>
    <t>04 ZŠ integrace UZ 091</t>
  </si>
  <si>
    <t>04 MŠ integrace UZ 091</t>
  </si>
  <si>
    <t>3612 byt.hosp-akce elektro org 1</t>
  </si>
  <si>
    <r>
      <t xml:space="preserve">dary 2322 </t>
    </r>
    <r>
      <rPr>
        <sz val="8"/>
        <rFont val="Arial"/>
        <family val="2"/>
      </rPr>
      <t>poj.plnění</t>
    </r>
  </si>
  <si>
    <t>04 MŠ odm.zam. UZ 096</t>
  </si>
  <si>
    <t>04 ZŠ odm.zam. UZ 096</t>
  </si>
  <si>
    <t>04 ŠJ odm.zam. UZ 096</t>
  </si>
  <si>
    <t>06 MK inf.síť veř.knih UZ 34053</t>
  </si>
  <si>
    <t>04 41533 MŠ rekonstrukce kuchyní UZ 084</t>
  </si>
  <si>
    <t>06 41534 KS rekonstruce UZ 084</t>
  </si>
  <si>
    <t>07 UZ 081 JSDH provoz</t>
  </si>
  <si>
    <t>nedočerpáno</t>
  </si>
  <si>
    <t xml:space="preserve">     mzdy samospr.</t>
  </si>
  <si>
    <t>plnění ku SR</t>
  </si>
  <si>
    <t xml:space="preserve">výsledek celkem: </t>
  </si>
  <si>
    <t>2219 elektromobilita 25282011</t>
  </si>
  <si>
    <t>2329 org 151011 Hav.posv</t>
  </si>
  <si>
    <t>FV 2010:</t>
  </si>
  <si>
    <t>viz st.spr+školství</t>
  </si>
  <si>
    <t>vč. Europa Cinemas Soutien Media 253.948,25 (bude rozděleno)</t>
  </si>
  <si>
    <t>limitka:</t>
  </si>
  <si>
    <t>MŠ objekt vč čp.1368/ 28,7</t>
  </si>
  <si>
    <t xml:space="preserve">  12/12 =</t>
  </si>
  <si>
    <t>Skutečnost 1-12/2011</t>
  </si>
  <si>
    <t>2339 Lávka</t>
  </si>
  <si>
    <t xml:space="preserve"> =12/12*(5815991-16/16*815991)</t>
  </si>
  <si>
    <t>UR: 24,40</t>
  </si>
  <si>
    <t>UR: 18,00</t>
  </si>
  <si>
    <t>SPOD provoz:</t>
  </si>
  <si>
    <t>SLBD provoz:</t>
  </si>
  <si>
    <t xml:space="preserve"> =365950+19500+10800+4/4*1000+ 5/5*2000+6/6*4500+8/8*2000+9/9*-1725+ 10/10*6500+12/12*-410525</t>
  </si>
  <si>
    <t>dle ORG</t>
  </si>
  <si>
    <t>opraveno od 12/2011 GCh + 1.700,00</t>
  </si>
  <si>
    <t>včetně opravy + 132.332,00</t>
  </si>
  <si>
    <r>
      <t>mobiliář RMČ</t>
    </r>
    <r>
      <rPr>
        <sz val="8"/>
        <rFont val="Arial"/>
        <family val="0"/>
      </rPr>
      <t xml:space="preserve"> 1188/82/2009</t>
    </r>
  </si>
  <si>
    <r>
      <t>2321</t>
    </r>
    <r>
      <rPr>
        <sz val="8"/>
        <rFont val="Arial"/>
        <family val="0"/>
      </rPr>
      <t xml:space="preserve"> odp. voda </t>
    </r>
    <r>
      <rPr>
        <sz val="7"/>
        <rFont val="Arial"/>
        <family val="0"/>
      </rPr>
      <t>3722 odpady</t>
    </r>
  </si>
  <si>
    <t>2212 silnice bez mostku Na Výš</t>
  </si>
  <si>
    <r>
      <t xml:space="preserve">2212 </t>
    </r>
    <r>
      <rPr>
        <sz val="8"/>
        <rFont val="Arial"/>
        <family val="0"/>
      </rPr>
      <t>11023 mostek Na Výšince krytí DPPO 983,2</t>
    </r>
  </si>
  <si>
    <r>
      <t xml:space="preserve">zatepl z 2010 </t>
    </r>
    <r>
      <rPr>
        <i/>
        <sz val="9"/>
        <rFont val="Arial"/>
        <family val="0"/>
      </rPr>
      <t>41082 +</t>
    </r>
    <r>
      <rPr>
        <sz val="9"/>
        <rFont val="Arial"/>
        <family val="0"/>
      </rPr>
      <t>MŠ III + kuchyně  fin MČ 816,0</t>
    </r>
  </si>
  <si>
    <r>
      <t>3113 zákl.škola+RMČ</t>
    </r>
    <r>
      <rPr>
        <sz val="7"/>
        <rFont val="Arial"/>
        <family val="0"/>
      </rPr>
      <t>čtenáři,integr krytí DPPO 84,5+5</t>
    </r>
  </si>
  <si>
    <t>ZŠ objekty vč inv 99.500 !!</t>
  </si>
  <si>
    <r>
      <t xml:space="preserve">ZŠ objekty </t>
    </r>
    <r>
      <rPr>
        <sz val="8"/>
        <rFont val="Arial"/>
        <family val="0"/>
      </rPr>
      <t xml:space="preserve">inv org 11122011 krytí DPPO </t>
    </r>
    <r>
      <rPr>
        <strike/>
        <sz val="8"/>
        <rFont val="Arial"/>
        <family val="0"/>
      </rPr>
      <t>2.988,6</t>
    </r>
    <r>
      <rPr>
        <sz val="8"/>
        <rFont val="Arial"/>
        <family val="0"/>
      </rPr>
      <t xml:space="preserve">  42,00</t>
    </r>
  </si>
  <si>
    <r>
      <t>3539 org 1100 NZ</t>
    </r>
    <r>
      <rPr>
        <sz val="8"/>
        <rFont val="Arial"/>
        <family val="0"/>
      </rPr>
      <t>Z digit.rent UR UZ 099</t>
    </r>
  </si>
  <si>
    <t>4379 péče o seniory vč.zájezdů</t>
  </si>
  <si>
    <t>3313 kino vč.INV 96,3 krytí DPPO 1.047,8</t>
  </si>
  <si>
    <r>
      <t>3319 kult.střed</t>
    </r>
    <r>
      <rPr>
        <sz val="8"/>
        <rFont val="Arial"/>
        <family val="0"/>
      </rPr>
      <t xml:space="preserve"> rekonstr UR</t>
    </r>
  </si>
  <si>
    <t>3319 kult.akce vč.záj. s dětmi</t>
  </si>
  <si>
    <t>5512 dobrov.hasiči vč. výročí 30.000</t>
  </si>
  <si>
    <t>3612 SON správa</t>
  </si>
  <si>
    <r>
      <t>3612 bytové hosp.</t>
    </r>
    <r>
      <rPr>
        <sz val="7"/>
        <rFont val="Arial"/>
        <family val="0"/>
      </rPr>
      <t xml:space="preserve"> v tom INV 1.702,9</t>
    </r>
  </si>
  <si>
    <r>
      <t>6171 úřad provoz</t>
    </r>
    <r>
      <rPr>
        <sz val="7"/>
        <rFont val="Arial"/>
        <family val="0"/>
      </rPr>
      <t xml:space="preserve"> vč.odm.kom 2010 55.000,00</t>
    </r>
  </si>
  <si>
    <r>
      <t>6171 úřad provoz</t>
    </r>
    <r>
      <rPr>
        <sz val="8"/>
        <rFont val="Arial"/>
        <family val="0"/>
      </rPr>
      <t xml:space="preserve"> odečet mzd.nákl</t>
    </r>
  </si>
  <si>
    <t xml:space="preserve">     mzdy samospr. SFZ přísp</t>
  </si>
  <si>
    <r>
      <t xml:space="preserve">     mzdy samospr. č</t>
    </r>
    <r>
      <rPr>
        <sz val="8"/>
        <rFont val="Arial"/>
        <family val="0"/>
      </rPr>
      <t>erp UZ</t>
    </r>
    <r>
      <rPr>
        <sz val="7"/>
        <rFont val="Arial"/>
        <family val="0"/>
      </rPr>
      <t xml:space="preserve"> (SLBD)</t>
    </r>
  </si>
  <si>
    <r>
      <t xml:space="preserve">     mzdy samospr.č</t>
    </r>
    <r>
      <rPr>
        <sz val="8"/>
        <rFont val="Arial"/>
        <family val="0"/>
      </rPr>
      <t>erp ZMČ</t>
    </r>
    <r>
      <rPr>
        <sz val="7"/>
        <rFont val="Arial"/>
        <family val="0"/>
      </rPr>
      <t xml:space="preserve"> odvody</t>
    </r>
  </si>
  <si>
    <r>
      <t xml:space="preserve">   mzdy samospr.</t>
    </r>
    <r>
      <rPr>
        <sz val="8"/>
        <rFont val="Arial"/>
        <family val="0"/>
      </rPr>
      <t>převod do EČ,BH</t>
    </r>
  </si>
  <si>
    <t xml:space="preserve">     mzdy soc.péče skutečnost</t>
  </si>
  <si>
    <t>6171 objekt 23 v tom sv.síň</t>
  </si>
  <si>
    <t>investiční akce vč. rekr.střed</t>
  </si>
  <si>
    <t>kulturní akce vč.Bezp.podzim 7.714,00</t>
  </si>
  <si>
    <r>
      <t>různé organizační</t>
    </r>
    <r>
      <rPr>
        <sz val="8"/>
        <rFont val="Arial"/>
        <family val="0"/>
      </rPr>
      <t xml:space="preserve"> vč o.p.s. 350; 4;153;1379,2105; 2098,143719; 7038222222 FT 1111</t>
    </r>
  </si>
  <si>
    <t>3421 org 11106 Skatepark UZ 14876</t>
  </si>
  <si>
    <r>
      <t>04 ZŠ příst.křídla</t>
    </r>
    <r>
      <rPr>
        <sz val="8"/>
        <rFont val="Arial"/>
        <family val="0"/>
      </rPr>
      <t xml:space="preserve"> org 41609 UZ 97512 MF </t>
    </r>
    <r>
      <rPr>
        <strike/>
        <sz val="6"/>
        <rFont val="Arial"/>
        <family val="0"/>
      </rPr>
      <t>11122011 krytí DPPO 2.988,6</t>
    </r>
  </si>
  <si>
    <r>
      <t>06 Kino Fond kinem</t>
    </r>
    <r>
      <rPr>
        <sz val="8"/>
        <rFont val="Arial"/>
        <family val="0"/>
      </rPr>
      <t xml:space="preserve"> UZ 93566</t>
    </r>
  </si>
  <si>
    <r>
      <t>09 Grant soc.péče</t>
    </r>
    <r>
      <rPr>
        <sz val="7"/>
        <rFont val="Arial"/>
        <family val="0"/>
      </rPr>
      <t xml:space="preserve"> </t>
    </r>
    <r>
      <rPr>
        <sz val="8"/>
        <rFont val="Arial"/>
        <family val="0"/>
      </rPr>
      <t>org 2364xx1,3</t>
    </r>
  </si>
  <si>
    <r>
      <t xml:space="preserve">05 prevence </t>
    </r>
    <r>
      <rPr>
        <sz val="8"/>
        <rFont val="Arial"/>
        <family val="0"/>
      </rPr>
      <t>protidrog SO P 16 081</t>
    </r>
  </si>
  <si>
    <r>
      <t>04 prevence</t>
    </r>
    <r>
      <rPr>
        <sz val="8"/>
        <rFont val="Arial"/>
        <family val="0"/>
      </rPr>
      <t xml:space="preserve"> protidrog </t>
    </r>
    <r>
      <rPr>
        <sz val="9"/>
        <rFont val="Arial"/>
        <family val="0"/>
      </rPr>
      <t>ZŠ 081</t>
    </r>
  </si>
  <si>
    <t>ZMČ 19.12.2011 resp. 28.3.2012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</si>
</sst>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0"/>
    <numFmt numFmtId="167" formatCode="0.000000"/>
    <numFmt numFmtId="168" formatCode="0.00000"/>
    <numFmt numFmtId="169" formatCode="0.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0000"/>
    <numFmt numFmtId="174" formatCode="[$-405]d\.\ mmmm\ yyyy"/>
  </numFmts>
  <fonts count="5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10"/>
      <name val="Arial CE"/>
      <family val="0"/>
    </font>
    <font>
      <i/>
      <sz val="8"/>
      <name val="Arial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9"/>
      <name val="Arial"/>
      <family val="0"/>
    </font>
    <font>
      <b/>
      <sz val="7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i/>
      <sz val="8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0"/>
    </font>
    <font>
      <strike/>
      <sz val="8"/>
      <name val="Arial"/>
      <family val="0"/>
    </font>
    <font>
      <strike/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b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4" fontId="10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0" fontId="6" fillId="0" borderId="0" xfId="0" applyNumberFormat="1" applyFont="1" applyFill="1" applyBorder="1" applyAlignment="1">
      <alignment/>
    </xf>
    <xf numFmtId="10" fontId="13" fillId="0" borderId="0" xfId="0" applyNumberFormat="1" applyFont="1" applyFill="1" applyBorder="1" applyAlignment="1">
      <alignment/>
    </xf>
    <xf numFmtId="10" fontId="6" fillId="0" borderId="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0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164" fontId="2" fillId="34" borderId="0" xfId="0" applyNumberFormat="1" applyFont="1" applyFill="1" applyBorder="1" applyAlignment="1">
      <alignment horizontal="center" vertical="center" wrapText="1"/>
    </xf>
    <xf numFmtId="164" fontId="1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164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10" fontId="6" fillId="35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2" fontId="2" fillId="36" borderId="0" xfId="0" applyNumberFormat="1" applyFont="1" applyFill="1" applyBorder="1" applyAlignment="1">
      <alignment/>
    </xf>
    <xf numFmtId="0" fontId="3" fillId="34" borderId="0" xfId="0" applyFont="1" applyFill="1" applyAlignment="1">
      <alignment horizontal="center"/>
    </xf>
    <xf numFmtId="164" fontId="2" fillId="34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4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36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4" fontId="9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10" fontId="6" fillId="34" borderId="0" xfId="0" applyNumberFormat="1" applyFont="1" applyFill="1" applyAlignment="1">
      <alignment horizontal="center"/>
    </xf>
    <xf numFmtId="10" fontId="6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164" fontId="2" fillId="36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 wrapText="1"/>
    </xf>
    <xf numFmtId="4" fontId="15" fillId="0" borderId="0" xfId="0" applyNumberFormat="1" applyFont="1" applyFill="1" applyBorder="1" applyAlignment="1">
      <alignment/>
    </xf>
    <xf numFmtId="4" fontId="2" fillId="37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4" fontId="2" fillId="38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2" fillId="39" borderId="0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5" fillId="40" borderId="0" xfId="0" applyNumberFormat="1" applyFont="1" applyFill="1" applyBorder="1" applyAlignment="1">
      <alignment/>
    </xf>
    <xf numFmtId="4" fontId="2" fillId="36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2" fillId="33" borderId="0" xfId="0" applyFont="1" applyFill="1" applyBorder="1" applyAlignment="1">
      <alignment/>
    </xf>
    <xf numFmtId="4" fontId="15" fillId="35" borderId="0" xfId="0" applyNumberFormat="1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164" fontId="2" fillId="34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34" borderId="0" xfId="0" applyNumberFormat="1" applyFont="1" applyFill="1" applyBorder="1" applyAlignment="1">
      <alignment/>
    </xf>
    <xf numFmtId="164" fontId="3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10" fontId="13" fillId="34" borderId="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4" fontId="2" fillId="34" borderId="0" xfId="0" applyNumberFormat="1" applyFont="1" applyFill="1" applyAlignment="1">
      <alignment/>
    </xf>
    <xf numFmtId="4" fontId="15" fillId="34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34" borderId="0" xfId="0" applyFont="1" applyFill="1" applyAlignment="1">
      <alignment horizontal="center"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" fontId="1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5"/>
  <sheetViews>
    <sheetView tabSelected="1" zoomScale="90" zoomScaleNormal="90" zoomScalePageLayoutView="0" workbookViewId="0" topLeftCell="A1">
      <pane xSplit="1" ySplit="3" topLeftCell="J8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04" sqref="O104"/>
    </sheetView>
  </sheetViews>
  <sheetFormatPr defaultColWidth="9.140625" defaultRowHeight="12.75"/>
  <cols>
    <col min="1" max="1" width="28.7109375" style="48" customWidth="1"/>
    <col min="2" max="2" width="8.7109375" style="64" customWidth="1"/>
    <col min="3" max="4" width="8.7109375" style="72" customWidth="1"/>
    <col min="5" max="5" width="9.00390625" style="73" customWidth="1"/>
    <col min="6" max="6" width="9.28125" style="73" customWidth="1"/>
    <col min="7" max="7" width="8.7109375" style="72" hidden="1" customWidth="1"/>
    <col min="8" max="8" width="9.8515625" style="72" customWidth="1"/>
    <col min="9" max="9" width="26.421875" style="3" hidden="1" customWidth="1"/>
    <col min="10" max="10" width="14.8515625" style="8" customWidth="1"/>
    <col min="11" max="11" width="7.7109375" style="29" customWidth="1"/>
    <col min="12" max="12" width="22.7109375" style="99" hidden="1" customWidth="1"/>
    <col min="13" max="13" width="13.57421875" style="99" hidden="1" customWidth="1"/>
    <col min="14" max="14" width="12.57421875" style="99" hidden="1" customWidth="1"/>
    <col min="15" max="15" width="22.7109375" style="3" customWidth="1"/>
    <col min="16" max="17" width="8.7109375" style="6" customWidth="1"/>
    <col min="18" max="18" width="9.28125" style="6" customWidth="1"/>
    <col min="19" max="19" width="9.00390625" style="6" customWidth="1"/>
    <col min="20" max="20" width="9.28125" style="6" customWidth="1"/>
    <col min="21" max="21" width="8.7109375" style="6" hidden="1" customWidth="1"/>
    <col min="22" max="22" width="9.8515625" style="6" customWidth="1"/>
    <col min="23" max="23" width="28.7109375" style="2" hidden="1" customWidth="1"/>
    <col min="24" max="24" width="14.8515625" style="15" customWidth="1"/>
    <col min="25" max="25" width="12.00390625" style="32" bestFit="1" customWidth="1"/>
    <col min="26" max="26" width="0" style="22" hidden="1" customWidth="1"/>
    <col min="27" max="27" width="12.7109375" style="22" customWidth="1"/>
    <col min="28" max="16384" width="9.140625" style="22" customWidth="1"/>
  </cols>
  <sheetData>
    <row r="1" spans="1:27" ht="12.75">
      <c r="A1" s="8"/>
      <c r="B1" s="143" t="s">
        <v>14</v>
      </c>
      <c r="C1" s="144"/>
      <c r="D1" s="144"/>
      <c r="E1" s="144"/>
      <c r="F1" s="144"/>
      <c r="G1" s="144"/>
      <c r="H1" s="144"/>
      <c r="I1" s="144"/>
      <c r="J1" s="144"/>
      <c r="K1" s="144"/>
      <c r="L1" s="86"/>
      <c r="M1" s="87"/>
      <c r="N1" s="87"/>
      <c r="O1" s="8"/>
      <c r="P1" s="143" t="s">
        <v>15</v>
      </c>
      <c r="Q1" s="144"/>
      <c r="R1" s="144"/>
      <c r="S1" s="144"/>
      <c r="T1" s="144"/>
      <c r="U1" s="144"/>
      <c r="V1" s="144"/>
      <c r="W1" s="144"/>
      <c r="X1" s="144"/>
      <c r="Y1" s="144"/>
      <c r="Z1" s="88"/>
      <c r="AA1" s="89"/>
    </row>
    <row r="2" spans="1:27" ht="12.75">
      <c r="A2" s="8"/>
      <c r="B2" s="62"/>
      <c r="C2" s="145" t="s">
        <v>169</v>
      </c>
      <c r="D2" s="145"/>
      <c r="E2" s="145"/>
      <c r="F2" s="145"/>
      <c r="G2" s="145"/>
      <c r="H2" s="145"/>
      <c r="I2" s="90"/>
      <c r="J2" s="91"/>
      <c r="K2" s="92">
        <f>12/12</f>
        <v>1</v>
      </c>
      <c r="L2" s="86"/>
      <c r="M2" s="87"/>
      <c r="N2" s="87"/>
      <c r="O2" s="8"/>
      <c r="P2" s="47"/>
      <c r="Q2" s="145" t="s">
        <v>169</v>
      </c>
      <c r="R2" s="145"/>
      <c r="S2" s="145"/>
      <c r="T2" s="145"/>
      <c r="U2" s="145"/>
      <c r="V2" s="145"/>
      <c r="W2" s="90"/>
      <c r="X2" s="91" t="s">
        <v>124</v>
      </c>
      <c r="Y2" s="92">
        <f>12/12</f>
        <v>1</v>
      </c>
      <c r="Z2" s="93"/>
      <c r="AA2" s="89"/>
    </row>
    <row r="3" spans="1:25" s="19" customFormat="1" ht="34.5" customHeight="1">
      <c r="A3" s="84"/>
      <c r="B3" s="63" t="s">
        <v>79</v>
      </c>
      <c r="C3" s="45" t="s">
        <v>72</v>
      </c>
      <c r="D3" s="45" t="s">
        <v>80</v>
      </c>
      <c r="E3" s="45" t="s">
        <v>81</v>
      </c>
      <c r="F3" s="45" t="s">
        <v>82</v>
      </c>
      <c r="G3" s="44"/>
      <c r="H3" s="45" t="s">
        <v>27</v>
      </c>
      <c r="I3" s="46"/>
      <c r="J3" s="148" t="s">
        <v>125</v>
      </c>
      <c r="K3" s="149"/>
      <c r="L3" s="94"/>
      <c r="M3" s="95" t="s">
        <v>133</v>
      </c>
      <c r="N3" s="95" t="s">
        <v>37</v>
      </c>
      <c r="O3" s="8"/>
      <c r="P3" s="43" t="s">
        <v>79</v>
      </c>
      <c r="Q3" s="45" t="s">
        <v>72</v>
      </c>
      <c r="R3" s="45" t="s">
        <v>80</v>
      </c>
      <c r="S3" s="45" t="s">
        <v>81</v>
      </c>
      <c r="T3" s="45" t="s">
        <v>82</v>
      </c>
      <c r="U3" s="44"/>
      <c r="V3" s="45" t="s">
        <v>27</v>
      </c>
      <c r="W3" s="46"/>
      <c r="X3" s="148" t="s">
        <v>125</v>
      </c>
      <c r="Y3" s="149"/>
    </row>
    <row r="4" spans="1:25" s="19" customFormat="1" ht="12.75">
      <c r="A4" s="48" t="s">
        <v>73</v>
      </c>
      <c r="B4" s="64"/>
      <c r="C4" s="72"/>
      <c r="D4" s="72"/>
      <c r="E4" s="73"/>
      <c r="F4" s="73"/>
      <c r="G4" s="72"/>
      <c r="H4" s="72">
        <f>SUM(B4:G4)</f>
        <v>0</v>
      </c>
      <c r="I4" s="3"/>
      <c r="J4" s="8"/>
      <c r="K4" s="29"/>
      <c r="L4" s="94"/>
      <c r="M4" s="95"/>
      <c r="N4" s="95"/>
      <c r="O4" s="8"/>
      <c r="P4" s="9"/>
      <c r="Q4" s="9"/>
      <c r="R4" s="9"/>
      <c r="S4" s="9"/>
      <c r="T4" s="9"/>
      <c r="U4" s="9"/>
      <c r="V4" s="54">
        <f>SUM(P4:U4)</f>
        <v>0</v>
      </c>
      <c r="W4" s="96" t="s">
        <v>16</v>
      </c>
      <c r="X4" s="15"/>
      <c r="Y4" s="29"/>
    </row>
    <row r="5" spans="1:25" s="19" customFormat="1" ht="12.75" customHeight="1" hidden="1">
      <c r="A5" s="24"/>
      <c r="B5" s="65"/>
      <c r="C5" s="25"/>
      <c r="D5" s="25"/>
      <c r="E5" s="25"/>
      <c r="F5" s="25"/>
      <c r="G5" s="12"/>
      <c r="H5" s="18"/>
      <c r="I5" s="13"/>
      <c r="J5" s="40"/>
      <c r="K5" s="39"/>
      <c r="L5" s="94"/>
      <c r="M5" s="95"/>
      <c r="N5" s="95"/>
      <c r="O5" s="8"/>
      <c r="P5" s="16"/>
      <c r="Q5" s="25"/>
      <c r="R5" s="25"/>
      <c r="S5" s="25"/>
      <c r="T5" s="25"/>
      <c r="U5" s="25"/>
      <c r="V5" s="18"/>
      <c r="W5" s="14"/>
      <c r="X5" s="40"/>
      <c r="Y5" s="29"/>
    </row>
    <row r="6" spans="1:27" s="19" customFormat="1" ht="15" customHeight="1">
      <c r="A6" s="79" t="s">
        <v>74</v>
      </c>
      <c r="B6" s="66">
        <f>SUM(B4:B5)</f>
        <v>0</v>
      </c>
      <c r="C6" s="53">
        <f>SUM(C4:C5)</f>
        <v>0</v>
      </c>
      <c r="D6" s="53">
        <f>SUM(D4:D5)</f>
        <v>0</v>
      </c>
      <c r="E6" s="58">
        <f>SUM(E4:E5)</f>
        <v>0</v>
      </c>
      <c r="F6" s="58">
        <f>SUM(F4:F5)</f>
        <v>0</v>
      </c>
      <c r="G6" s="53"/>
      <c r="H6" s="53">
        <f>SUM(H4:H5)</f>
        <v>0</v>
      </c>
      <c r="I6" s="3"/>
      <c r="J6" s="52">
        <f>SUM(J4:J5)</f>
        <v>0</v>
      </c>
      <c r="K6" s="30"/>
      <c r="L6" s="97"/>
      <c r="M6" s="97"/>
      <c r="N6" s="97"/>
      <c r="O6" s="61">
        <f>(H6-0)*0+(J6-2/2*0)</f>
        <v>0</v>
      </c>
      <c r="P6" s="53">
        <f aca="true" t="shared" si="0" ref="P6:V6">SUM(P4:P5)</f>
        <v>0</v>
      </c>
      <c r="Q6" s="53">
        <f t="shared" si="0"/>
        <v>0</v>
      </c>
      <c r="R6" s="53">
        <f t="shared" si="0"/>
        <v>0</v>
      </c>
      <c r="S6" s="53">
        <f t="shared" si="0"/>
        <v>0</v>
      </c>
      <c r="T6" s="53">
        <f t="shared" si="0"/>
        <v>0</v>
      </c>
      <c r="U6" s="53">
        <f t="shared" si="0"/>
        <v>0</v>
      </c>
      <c r="V6" s="53">
        <f t="shared" si="0"/>
        <v>0</v>
      </c>
      <c r="W6" s="2"/>
      <c r="X6" s="51">
        <f>SUM(X4:X5)</f>
        <v>0</v>
      </c>
      <c r="Y6" s="29"/>
      <c r="Z6" s="11"/>
      <c r="AA6" s="98">
        <f>V6-1/1*0+(X6-1/1*0)</f>
        <v>0</v>
      </c>
    </row>
    <row r="7" spans="1:25" s="11" customFormat="1" ht="12.75">
      <c r="A7" s="48" t="s">
        <v>0</v>
      </c>
      <c r="B7" s="64">
        <f>100*0+50</f>
        <v>50</v>
      </c>
      <c r="C7" s="72"/>
      <c r="D7" s="72">
        <f>6/6*100</f>
        <v>100</v>
      </c>
      <c r="E7" s="73">
        <v>-79.9</v>
      </c>
      <c r="F7" s="73">
        <v>-50.1</v>
      </c>
      <c r="G7" s="72"/>
      <c r="H7" s="73">
        <f aca="true" t="shared" si="1" ref="H7:H16">SUM(B7:G7)</f>
        <v>19.999999999999993</v>
      </c>
      <c r="I7" s="3"/>
      <c r="J7" s="8">
        <f>8/8*7800*0+9/9*19776</f>
        <v>19776</v>
      </c>
      <c r="K7" s="29">
        <f aca="true" t="shared" si="2" ref="K7:K19">J7/(H7*1000)</f>
        <v>0.9888000000000003</v>
      </c>
      <c r="L7" s="99"/>
      <c r="M7" s="99"/>
      <c r="N7" s="99"/>
      <c r="O7" s="3"/>
      <c r="P7" s="9"/>
      <c r="Q7" s="9"/>
      <c r="R7" s="9"/>
      <c r="S7" s="9"/>
      <c r="T7" s="9"/>
      <c r="U7" s="9"/>
      <c r="V7" s="54">
        <f aca="true" t="shared" si="3" ref="V7:V16">SUM(P7:U7)</f>
        <v>0</v>
      </c>
      <c r="W7" s="96" t="s">
        <v>16</v>
      </c>
      <c r="X7" s="15"/>
      <c r="Y7" s="29"/>
    </row>
    <row r="8" spans="1:25" s="11" customFormat="1" ht="12.75">
      <c r="A8" s="48" t="s">
        <v>65</v>
      </c>
      <c r="B8" s="64">
        <f>0+50</f>
        <v>50</v>
      </c>
      <c r="C8" s="72"/>
      <c r="D8" s="72"/>
      <c r="E8" s="73">
        <v>300</v>
      </c>
      <c r="F8" s="73"/>
      <c r="G8" s="72"/>
      <c r="H8" s="73">
        <f t="shared" si="1"/>
        <v>350</v>
      </c>
      <c r="I8" s="3"/>
      <c r="J8" s="8">
        <f>4800*0+8/8*14400*0+11/11*638400*0+12/12*2464800-14876/14876*500000</f>
        <v>1964800</v>
      </c>
      <c r="K8" s="29">
        <f t="shared" si="2"/>
        <v>5.613714285714286</v>
      </c>
      <c r="L8" s="99"/>
      <c r="M8" s="99"/>
      <c r="N8" s="99"/>
      <c r="O8" s="3"/>
      <c r="P8" s="9"/>
      <c r="Q8" s="9"/>
      <c r="R8" s="9"/>
      <c r="S8" s="9"/>
      <c r="T8" s="9"/>
      <c r="U8" s="9"/>
      <c r="V8" s="54">
        <f t="shared" si="3"/>
        <v>0</v>
      </c>
      <c r="W8" s="96" t="s">
        <v>16</v>
      </c>
      <c r="X8" s="15"/>
      <c r="Y8" s="29"/>
    </row>
    <row r="9" spans="1:25" s="11" customFormat="1" ht="12.75" hidden="1">
      <c r="A9" s="48" t="s">
        <v>136</v>
      </c>
      <c r="B9" s="64"/>
      <c r="C9" s="72"/>
      <c r="D9" s="72"/>
      <c r="E9" s="73"/>
      <c r="F9" s="73"/>
      <c r="G9" s="72"/>
      <c r="H9" s="73">
        <f t="shared" si="1"/>
        <v>0</v>
      </c>
      <c r="I9" s="3"/>
      <c r="J9" s="8"/>
      <c r="K9" s="29"/>
      <c r="L9" s="99"/>
      <c r="M9" s="99"/>
      <c r="N9" s="99"/>
      <c r="O9" s="3"/>
      <c r="P9" s="9"/>
      <c r="Q9" s="9"/>
      <c r="R9" s="9"/>
      <c r="S9" s="9"/>
      <c r="T9" s="9"/>
      <c r="U9" s="9"/>
      <c r="V9" s="54">
        <f t="shared" si="3"/>
        <v>0</v>
      </c>
      <c r="W9" s="96" t="s">
        <v>16</v>
      </c>
      <c r="X9" s="15"/>
      <c r="Y9" s="29"/>
    </row>
    <row r="10" spans="1:25" s="11" customFormat="1" ht="12.75">
      <c r="A10" s="48" t="s">
        <v>66</v>
      </c>
      <c r="B10" s="64">
        <f>100</f>
        <v>100</v>
      </c>
      <c r="C10" s="72"/>
      <c r="D10" s="72"/>
      <c r="E10" s="73">
        <v>-100</v>
      </c>
      <c r="F10" s="73"/>
      <c r="G10" s="72"/>
      <c r="H10" s="73">
        <f t="shared" si="1"/>
        <v>0</v>
      </c>
      <c r="I10" s="3"/>
      <c r="J10" s="8"/>
      <c r="K10" s="29"/>
      <c r="L10" s="99"/>
      <c r="M10" s="99"/>
      <c r="N10" s="99"/>
      <c r="O10" s="3"/>
      <c r="P10" s="9"/>
      <c r="Q10" s="9"/>
      <c r="R10" s="9"/>
      <c r="S10" s="9"/>
      <c r="T10" s="9"/>
      <c r="U10" s="9"/>
      <c r="V10" s="54">
        <f t="shared" si="3"/>
        <v>0</v>
      </c>
      <c r="W10" s="96" t="s">
        <v>16</v>
      </c>
      <c r="X10" s="15"/>
      <c r="Y10" s="29"/>
    </row>
    <row r="11" spans="1:25" s="11" customFormat="1" ht="12.75">
      <c r="A11" s="48" t="s">
        <v>137</v>
      </c>
      <c r="B11" s="64"/>
      <c r="C11" s="72"/>
      <c r="D11" s="72"/>
      <c r="E11" s="73"/>
      <c r="F11" s="73">
        <f>33</f>
        <v>33</v>
      </c>
      <c r="G11" s="72"/>
      <c r="H11" s="73">
        <f t="shared" si="1"/>
        <v>33</v>
      </c>
      <c r="I11" s="3"/>
      <c r="J11" s="8">
        <f>10/10*33177</f>
        <v>33177</v>
      </c>
      <c r="K11" s="29">
        <f t="shared" si="2"/>
        <v>1.0053636363636365</v>
      </c>
      <c r="L11" s="99"/>
      <c r="M11" s="99"/>
      <c r="N11" s="99"/>
      <c r="O11" s="3"/>
      <c r="P11" s="9"/>
      <c r="Q11" s="9"/>
      <c r="R11" s="9"/>
      <c r="S11" s="9"/>
      <c r="T11" s="9"/>
      <c r="U11" s="9"/>
      <c r="V11" s="54">
        <f t="shared" si="3"/>
        <v>0</v>
      </c>
      <c r="W11" s="96" t="s">
        <v>16</v>
      </c>
      <c r="X11" s="15"/>
      <c r="Y11" s="29"/>
    </row>
    <row r="12" spans="1:25" s="11" customFormat="1" ht="12.75">
      <c r="A12" s="48" t="s">
        <v>126</v>
      </c>
      <c r="B12" s="64"/>
      <c r="C12" s="72"/>
      <c r="D12" s="72"/>
      <c r="E12" s="73"/>
      <c r="F12" s="73"/>
      <c r="G12" s="72"/>
      <c r="H12" s="73">
        <f>SUM(B12:G12)</f>
        <v>0</v>
      </c>
      <c r="I12" s="3"/>
      <c r="J12" s="8">
        <f>12/12*38930</f>
        <v>38930</v>
      </c>
      <c r="K12" s="29"/>
      <c r="L12" s="99"/>
      <c r="M12" s="99"/>
      <c r="N12" s="99"/>
      <c r="O12" s="3"/>
      <c r="P12" s="9"/>
      <c r="Q12" s="9"/>
      <c r="R12" s="9"/>
      <c r="S12" s="9"/>
      <c r="T12" s="9"/>
      <c r="U12" s="9"/>
      <c r="V12" s="54"/>
      <c r="W12" s="96"/>
      <c r="X12" s="15"/>
      <c r="Y12" s="29"/>
    </row>
    <row r="13" spans="1:25" s="11" customFormat="1" ht="12.75">
      <c r="A13" s="48" t="s">
        <v>92</v>
      </c>
      <c r="B13" s="64"/>
      <c r="C13" s="72"/>
      <c r="D13" s="72"/>
      <c r="E13" s="73"/>
      <c r="F13" s="73"/>
      <c r="G13" s="72"/>
      <c r="H13" s="73">
        <f>SUM(B13:G13)</f>
        <v>0</v>
      </c>
      <c r="I13" s="3"/>
      <c r="J13" s="8">
        <f>3/3*12000+6/6*181*0+12/12*15793</f>
        <v>27793</v>
      </c>
      <c r="K13" s="29"/>
      <c r="L13" s="99"/>
      <c r="M13" s="99"/>
      <c r="N13" s="99"/>
      <c r="O13" s="3"/>
      <c r="P13" s="9"/>
      <c r="Q13" s="9"/>
      <c r="R13" s="9"/>
      <c r="S13" s="9"/>
      <c r="T13" s="9"/>
      <c r="U13" s="9"/>
      <c r="V13" s="54">
        <f t="shared" si="3"/>
        <v>0</v>
      </c>
      <c r="W13" s="96"/>
      <c r="X13" s="15"/>
      <c r="Y13" s="29"/>
    </row>
    <row r="14" spans="1:25" s="11" customFormat="1" ht="12.75" customHeight="1">
      <c r="A14" s="48" t="s">
        <v>94</v>
      </c>
      <c r="B14" s="64"/>
      <c r="C14" s="72"/>
      <c r="D14" s="72">
        <f>6/6*750</f>
        <v>750</v>
      </c>
      <c r="E14" s="73">
        <v>68.7</v>
      </c>
      <c r="F14" s="73">
        <f>16.3</f>
        <v>16.3</v>
      </c>
      <c r="G14" s="72"/>
      <c r="H14" s="73">
        <f>SUM(B14:G14)</f>
        <v>835</v>
      </c>
      <c r="I14" s="3"/>
      <c r="J14" s="8">
        <f>4/4*((16800*0+5/5*26775)*0+18224.4*0+6/6*762779.8*0+7/7*803150.8*0+8/8*822767.2)</f>
        <v>822767.2</v>
      </c>
      <c r="K14" s="29">
        <f t="shared" si="2"/>
        <v>0.9853499401197604</v>
      </c>
      <c r="L14" s="99"/>
      <c r="M14" s="99"/>
      <c r="N14" s="99"/>
      <c r="O14" s="3"/>
      <c r="P14" s="9"/>
      <c r="Q14" s="9"/>
      <c r="R14" s="9"/>
      <c r="S14" s="9"/>
      <c r="T14" s="9"/>
      <c r="U14" s="9"/>
      <c r="V14" s="54">
        <f t="shared" si="3"/>
        <v>0</v>
      </c>
      <c r="W14" s="96"/>
      <c r="X14" s="15"/>
      <c r="Y14" s="29"/>
    </row>
    <row r="15" spans="1:25" s="11" customFormat="1" ht="12.75" customHeight="1">
      <c r="A15" s="48" t="s">
        <v>77</v>
      </c>
      <c r="B15" s="64">
        <v>500</v>
      </c>
      <c r="C15" s="72"/>
      <c r="D15" s="72">
        <f>6/6*113</f>
        <v>113</v>
      </c>
      <c r="E15" s="73"/>
      <c r="F15" s="73"/>
      <c r="G15" s="72"/>
      <c r="H15" s="73">
        <f t="shared" si="1"/>
        <v>613</v>
      </c>
      <c r="I15" s="3"/>
      <c r="J15" s="8">
        <f>2010/2010*113271.22+400000*0+12/12*500000</f>
        <v>613271.22</v>
      </c>
      <c r="K15" s="29">
        <f t="shared" si="2"/>
        <v>1.0004424469820554</v>
      </c>
      <c r="L15" s="99"/>
      <c r="M15" s="99"/>
      <c r="N15" s="99"/>
      <c r="O15" s="3"/>
      <c r="P15" s="9"/>
      <c r="Q15" s="9"/>
      <c r="R15" s="9"/>
      <c r="S15" s="9"/>
      <c r="T15" s="9"/>
      <c r="U15" s="9"/>
      <c r="V15" s="54">
        <f t="shared" si="3"/>
        <v>0</v>
      </c>
      <c r="W15" s="96" t="s">
        <v>16</v>
      </c>
      <c r="X15" s="15"/>
      <c r="Y15" s="29"/>
    </row>
    <row r="16" spans="1:25" s="11" customFormat="1" ht="12.75" customHeight="1">
      <c r="A16" s="48" t="s">
        <v>1</v>
      </c>
      <c r="B16" s="64">
        <v>100</v>
      </c>
      <c r="C16" s="72"/>
      <c r="D16" s="72">
        <f>6/6*40</f>
        <v>40</v>
      </c>
      <c r="E16" s="73">
        <v>-70</v>
      </c>
      <c r="F16" s="73">
        <f>12/12*64</f>
        <v>64</v>
      </c>
      <c r="G16" s="72"/>
      <c r="H16" s="73">
        <f t="shared" si="1"/>
        <v>134</v>
      </c>
      <c r="I16" s="3"/>
      <c r="J16" s="8">
        <f>13320*0+3/3*53220*0+4/4*68870*0+10/10*133540*0+12/12*138040</f>
        <v>138040</v>
      </c>
      <c r="K16" s="29">
        <f t="shared" si="2"/>
        <v>1.0301492537313433</v>
      </c>
      <c r="L16" s="99"/>
      <c r="M16" s="99"/>
      <c r="N16" s="99"/>
      <c r="O16" s="35"/>
      <c r="P16" s="9"/>
      <c r="Q16" s="9"/>
      <c r="R16" s="9"/>
      <c r="S16" s="9"/>
      <c r="T16" s="9"/>
      <c r="U16" s="9"/>
      <c r="V16" s="54">
        <f t="shared" si="3"/>
        <v>0</v>
      </c>
      <c r="W16" s="96" t="s">
        <v>16</v>
      </c>
      <c r="X16" s="15"/>
      <c r="Y16" s="29"/>
    </row>
    <row r="17" spans="1:27" ht="15" customHeight="1">
      <c r="A17" s="80" t="s">
        <v>61</v>
      </c>
      <c r="B17" s="66">
        <f>SUM(B7:B16)</f>
        <v>800</v>
      </c>
      <c r="C17" s="5">
        <f>SUM(C7:C16)</f>
        <v>0</v>
      </c>
      <c r="D17" s="5">
        <f>SUM(D7:D16)</f>
        <v>1003</v>
      </c>
      <c r="E17" s="17">
        <f>SUM(E7:E16)</f>
        <v>118.80000000000001</v>
      </c>
      <c r="F17" s="17">
        <f>SUM(F7:F16)</f>
        <v>63.2</v>
      </c>
      <c r="G17" s="5"/>
      <c r="H17" s="5">
        <f>SUM(H7:H16)</f>
        <v>1985</v>
      </c>
      <c r="I17" s="100"/>
      <c r="J17" s="52">
        <f>SUM(J7:J16)</f>
        <v>3658554.42</v>
      </c>
      <c r="K17" s="30">
        <f t="shared" si="2"/>
        <v>1.8431004634760706</v>
      </c>
      <c r="L17" s="97"/>
      <c r="M17" s="97"/>
      <c r="N17" s="97"/>
      <c r="O17" s="61">
        <f>(H17+4/4*C121+11/11*C116-800*0-4/4*4800*0-6/6*5803*0-9/9*5921.8*0-11/11*6421.8*0-12/12*6485)+(J17+J121+J116-2/2*(513271.22+4/4*18120)*0-3/3*(3/3*513271.22+4/4*70020)*0-4/4*633965.62*0-5/5*1643940.62*0-6/6*3161902.02*0-7/7*3202092.02*0-8/8*4039108.42*0-9/9*4351084.42*0-10/10*4748931.42*0-11/11*5672931.42*0-12/12*8158554.42)</f>
        <v>0</v>
      </c>
      <c r="P17" s="5">
        <f aca="true" t="shared" si="4" ref="P17:V17">SUM(P7:P16)</f>
        <v>0</v>
      </c>
      <c r="Q17" s="5">
        <f t="shared" si="4"/>
        <v>0</v>
      </c>
      <c r="R17" s="5">
        <f t="shared" si="4"/>
        <v>0</v>
      </c>
      <c r="S17" s="5">
        <f t="shared" si="4"/>
        <v>0</v>
      </c>
      <c r="T17" s="5">
        <f t="shared" si="4"/>
        <v>0</v>
      </c>
      <c r="U17" s="5">
        <f t="shared" si="4"/>
        <v>0</v>
      </c>
      <c r="V17" s="5">
        <f t="shared" si="4"/>
        <v>0</v>
      </c>
      <c r="W17" s="101"/>
      <c r="X17" s="51">
        <f>SUM(X7:X16)</f>
        <v>0</v>
      </c>
      <c r="Y17" s="30"/>
      <c r="Z17" s="102"/>
      <c r="AA17" s="98">
        <f>V17+V121+V116-1/1*0-4/4*4000-11/11*500+(X17+X121+X116-1/1*0-4/4*4000000-11/11*500000)</f>
        <v>0</v>
      </c>
    </row>
    <row r="18" spans="1:25" s="11" customFormat="1" ht="12.75" customHeight="1">
      <c r="A18" s="48" t="s">
        <v>138</v>
      </c>
      <c r="B18" s="64">
        <v>200</v>
      </c>
      <c r="C18" s="72"/>
      <c r="D18" s="72">
        <f>6/6*401</f>
        <v>401</v>
      </c>
      <c r="E18" s="73">
        <f>105+364+14</f>
        <v>483</v>
      </c>
      <c r="F18" s="73">
        <f>1449.3-1084</f>
        <v>365.29999999999995</v>
      </c>
      <c r="G18" s="72"/>
      <c r="H18" s="72">
        <f>SUM(B18:G18)</f>
        <v>1449.3</v>
      </c>
      <c r="I18" s="3"/>
      <c r="J18" s="8">
        <f>67368*0+3/3*248508*0+4/4*374863.2*0+5/5*(608077.9*0+6/6*1015836.6*0+7/7*1083767.6*0+8/8*1084703.6*0+9/9*1173688.6*0+10/10*1319836.6*0+11/11*1320772.6*0+12/12*1486923.6+11023/11023*180000*0*6/6)</f>
        <v>1486923.6</v>
      </c>
      <c r="K18" s="29">
        <f t="shared" si="2"/>
        <v>1.0259598426826744</v>
      </c>
      <c r="L18" s="99"/>
      <c r="M18" s="99"/>
      <c r="N18" s="99"/>
      <c r="O18" s="4"/>
      <c r="P18" s="9"/>
      <c r="Q18" s="9"/>
      <c r="R18" s="9"/>
      <c r="S18" s="9"/>
      <c r="T18" s="9"/>
      <c r="U18" s="9"/>
      <c r="V18" s="54">
        <f>SUM(P18:U18)</f>
        <v>0</v>
      </c>
      <c r="W18" s="96" t="s">
        <v>16</v>
      </c>
      <c r="X18" s="15"/>
      <c r="Y18" s="29"/>
    </row>
    <row r="19" spans="1:25" s="11" customFormat="1" ht="22.5" customHeight="1">
      <c r="A19" s="48" t="s">
        <v>139</v>
      </c>
      <c r="B19" s="64"/>
      <c r="C19" s="72">
        <f>7/7*99/99*983.2</f>
        <v>983.2</v>
      </c>
      <c r="D19" s="72">
        <f>6/6*180</f>
        <v>180</v>
      </c>
      <c r="E19" s="73"/>
      <c r="F19" s="73"/>
      <c r="G19" s="72"/>
      <c r="H19" s="72">
        <f>SUM(B19:G19)</f>
        <v>1163.2</v>
      </c>
      <c r="I19" s="3"/>
      <c r="J19" s="8">
        <f>6/6*180000*0+8/8*189600*0+10/10*709556*0+11/11*1273351.5</f>
        <v>1273351.5</v>
      </c>
      <c r="K19" s="29">
        <f t="shared" si="2"/>
        <v>1.0946969566712517</v>
      </c>
      <c r="L19" s="99"/>
      <c r="M19" s="99"/>
      <c r="N19" s="99"/>
      <c r="O19" s="4"/>
      <c r="P19" s="9"/>
      <c r="Q19" s="9"/>
      <c r="R19" s="9"/>
      <c r="S19" s="9"/>
      <c r="T19" s="9"/>
      <c r="U19" s="9"/>
      <c r="V19" s="54">
        <f>SUM(P19:U19)</f>
        <v>0</v>
      </c>
      <c r="W19" s="96" t="s">
        <v>16</v>
      </c>
      <c r="X19" s="15"/>
      <c r="Y19" s="29"/>
    </row>
    <row r="20" spans="1:25" s="11" customFormat="1" ht="12.75" hidden="1">
      <c r="A20" s="48">
        <v>2212</v>
      </c>
      <c r="B20" s="64"/>
      <c r="C20" s="72"/>
      <c r="D20" s="72"/>
      <c r="E20" s="73"/>
      <c r="F20" s="73"/>
      <c r="G20" s="72"/>
      <c r="H20" s="72">
        <f>SUM(B20:G20)</f>
        <v>0</v>
      </c>
      <c r="I20" s="3"/>
      <c r="J20" s="8"/>
      <c r="K20" s="29"/>
      <c r="L20" s="99"/>
      <c r="M20" s="99"/>
      <c r="N20" s="99"/>
      <c r="O20" s="4"/>
      <c r="P20" s="9"/>
      <c r="Q20" s="9"/>
      <c r="R20" s="9"/>
      <c r="S20" s="9"/>
      <c r="T20" s="9"/>
      <c r="U20" s="9"/>
      <c r="V20" s="54">
        <f>SUM(P20:U20)</f>
        <v>0</v>
      </c>
      <c r="W20" s="96" t="s">
        <v>16</v>
      </c>
      <c r="X20" s="15"/>
      <c r="Y20" s="29"/>
    </row>
    <row r="21" spans="1:25" s="11" customFormat="1" ht="12.75" customHeight="1">
      <c r="A21" s="48" t="s">
        <v>67</v>
      </c>
      <c r="B21" s="64">
        <v>100</v>
      </c>
      <c r="C21" s="72"/>
      <c r="D21" s="72">
        <f>6/6*53</f>
        <v>53</v>
      </c>
      <c r="E21" s="73"/>
      <c r="F21" s="73">
        <f>(826+0+33+1)-153</f>
        <v>707</v>
      </c>
      <c r="G21" s="72"/>
      <c r="H21" s="72">
        <f>SUM(B21:G21)</f>
        <v>860</v>
      </c>
      <c r="I21" s="3"/>
      <c r="J21" s="8">
        <f>14247*0+3/3*39247*0+4/4*41927*0+5/5*(81191.5*0+6/6*101591.5*0+7/7*473938.24*0+8/8*661868.24*0+9/9*725168.24*0+10/10*767307.24*0+11/11*824271.24+3612/3612*2420*0+6/6*4016*0+7/7*5612*0+8/8*7208*0+10/10*8804)+8233/8233*(2740*(2+4/4)*0+5/5*12170*0+6/6*15708*0+7/7*19246*0+8/8*22784*0+9/9*26322*0+10/10*29860*0+11/11*33398*0+12/12*36936)+8474/8474*(971*0+1460*0+4/4*1949)+(6/6)*2650</f>
        <v>874610.24</v>
      </c>
      <c r="K21" s="29">
        <f>J21/(H21*1000)</f>
        <v>1.0169886511627906</v>
      </c>
      <c r="L21" s="99"/>
      <c r="M21" s="99"/>
      <c r="N21" s="99"/>
      <c r="O21" s="4"/>
      <c r="P21" s="9"/>
      <c r="Q21" s="9"/>
      <c r="R21" s="9"/>
      <c r="S21" s="9"/>
      <c r="T21" s="9"/>
      <c r="U21" s="9"/>
      <c r="V21" s="54">
        <f>SUM(P21:U21)</f>
        <v>0</v>
      </c>
      <c r="W21" s="96" t="s">
        <v>16</v>
      </c>
      <c r="X21" s="15"/>
      <c r="Y21" s="29"/>
    </row>
    <row r="22" spans="1:25" s="11" customFormat="1" ht="12.75">
      <c r="A22" s="48" t="s">
        <v>117</v>
      </c>
      <c r="B22" s="64"/>
      <c r="C22" s="72"/>
      <c r="D22" s="72"/>
      <c r="E22" s="73"/>
      <c r="F22" s="73">
        <v>104</v>
      </c>
      <c r="G22" s="72"/>
      <c r="H22" s="72">
        <f>SUM(B22:G22)</f>
        <v>104</v>
      </c>
      <c r="I22" s="3"/>
      <c r="J22" s="8">
        <f>8/8*80000*0+11/11*104240*0+12/12*112331</f>
        <v>112331</v>
      </c>
      <c r="K22" s="29">
        <f>J22/(H22*1000)</f>
        <v>1.0801057692307692</v>
      </c>
      <c r="L22" s="99"/>
      <c r="M22" s="99"/>
      <c r="N22" s="99"/>
      <c r="O22" s="29"/>
      <c r="P22" s="9"/>
      <c r="Q22" s="9"/>
      <c r="R22" s="9"/>
      <c r="S22" s="9"/>
      <c r="T22" s="9"/>
      <c r="U22" s="9"/>
      <c r="V22" s="54">
        <f>SUM(P22:U22)</f>
        <v>0</v>
      </c>
      <c r="W22" s="96" t="s">
        <v>16</v>
      </c>
      <c r="X22" s="15"/>
      <c r="Y22" s="29"/>
    </row>
    <row r="23" spans="1:27" ht="15" customHeight="1">
      <c r="A23" s="80" t="s">
        <v>62</v>
      </c>
      <c r="B23" s="66">
        <f>SUM(B18:B22)</f>
        <v>300</v>
      </c>
      <c r="C23" s="5">
        <f>SUM(C18:C22)</f>
        <v>983.2</v>
      </c>
      <c r="D23" s="5">
        <f>SUM(D18:D22)</f>
        <v>634</v>
      </c>
      <c r="E23" s="17">
        <f>SUM(E18:E22)</f>
        <v>483</v>
      </c>
      <c r="F23" s="17">
        <f>SUM(F18:F22)</f>
        <v>1176.3</v>
      </c>
      <c r="G23" s="5"/>
      <c r="H23" s="5">
        <f>SUM(H18:H22)</f>
        <v>3576.5</v>
      </c>
      <c r="I23" s="100"/>
      <c r="J23" s="52">
        <f>SUM(J18:J22)</f>
        <v>3747216.34</v>
      </c>
      <c r="K23" s="30">
        <f aca="true" t="shared" si="5" ref="K23:K30">J23/(H23*1000)</f>
        <v>1.047732794631623</v>
      </c>
      <c r="L23" s="99">
        <f>3111/3111*(H24+H25+H128+H129-29-18-2052.9)</f>
        <v>0</v>
      </c>
      <c r="O23" s="61">
        <f>(H23-300*0-6/6*934*0-7/7*1917.2*0-9/9*2400.2*0-12/12*3576.5)+(J23-(4/4)*(2/2*85326*0+3/3*294695*0+4/4*426959.2*0+5/5*888458.4*0+6/6*1321751.1*0+7/7*1767162.84*0+8/8*2050762.84*0+9/9*2206585.84*0+10/10*2919962.84*0+11/11*3569436.34*0+12/12*3747216.34))</f>
        <v>0</v>
      </c>
      <c r="P23" s="5">
        <f aca="true" t="shared" si="6" ref="P23:U23">SUM(P18:P22)</f>
        <v>0</v>
      </c>
      <c r="Q23" s="5">
        <f t="shared" si="6"/>
        <v>0</v>
      </c>
      <c r="R23" s="5">
        <f t="shared" si="6"/>
        <v>0</v>
      </c>
      <c r="S23" s="5">
        <f t="shared" si="6"/>
        <v>0</v>
      </c>
      <c r="T23" s="5">
        <f t="shared" si="6"/>
        <v>0</v>
      </c>
      <c r="U23" s="5">
        <f t="shared" si="6"/>
        <v>0</v>
      </c>
      <c r="V23" s="5">
        <f>SUM(V18:V22)</f>
        <v>0</v>
      </c>
      <c r="W23" s="101"/>
      <c r="X23" s="51">
        <f>SUM(X18:X22)</f>
        <v>0</v>
      </c>
      <c r="Y23" s="30"/>
      <c r="Z23" s="103"/>
      <c r="AA23" s="98">
        <f>V23-1/1*0+(X23-1/1*0)</f>
        <v>0</v>
      </c>
    </row>
    <row r="24" spans="1:27" ht="12" customHeight="1">
      <c r="A24" s="48" t="s">
        <v>2</v>
      </c>
      <c r="B24" s="64">
        <v>1660</v>
      </c>
      <c r="H24" s="72">
        <f aca="true" t="shared" si="7" ref="H24:H33">SUM(B24:G24)</f>
        <v>1660</v>
      </c>
      <c r="J24" s="8">
        <f>3/3*415000+6/6*415000+(9/9+11/11)*415000</f>
        <v>1660000</v>
      </c>
      <c r="K24" s="29">
        <f t="shared" si="5"/>
        <v>1</v>
      </c>
      <c r="L24" s="99">
        <f>18+1368/1368*29+41082/41082*831+1100/1100*44</f>
        <v>922</v>
      </c>
      <c r="O24" s="36" t="s">
        <v>39</v>
      </c>
      <c r="P24" s="9">
        <f>447</f>
        <v>447</v>
      </c>
      <c r="Q24" s="9"/>
      <c r="R24" s="9"/>
      <c r="S24" s="9"/>
      <c r="T24" s="9"/>
      <c r="U24" s="9"/>
      <c r="V24" s="68">
        <f>SUM(P24:U24)</f>
        <v>447</v>
      </c>
      <c r="W24" s="96" t="s">
        <v>16</v>
      </c>
      <c r="X24" s="15">
        <f>(2776000*0+3/3*4164000*0+4/4*5552000*0+5/5*6940000*0+6/6*8328000*0+7/7*9716000*0+8/8*11104000*0+9/9*12492000*0+10/10*13880000*0+11/11*15268000*0+12/12*16653000)/16653*447+486.57899*0+3/3*229.8684922*0+4/4*-26.84201*0+5/5*-283.5525*0+6/6*459.73698*0+7/7*203.026482*0-53.684*0+9/9*-310.39452351*0+10/10*432.895*0+11/11*176.184471*0</f>
        <v>447000</v>
      </c>
      <c r="Y24" s="29">
        <f>X24/(V24*1000)</f>
        <v>1</v>
      </c>
      <c r="Z24" s="11"/>
      <c r="AA24" s="15">
        <f>X24-V24*1000*12/12</f>
        <v>0</v>
      </c>
    </row>
    <row r="25" spans="1:27" s="11" customFormat="1" ht="12" customHeight="1">
      <c r="A25" s="81" t="s">
        <v>123</v>
      </c>
      <c r="B25" s="64"/>
      <c r="C25" s="72"/>
      <c r="D25" s="72">
        <f>6/6*(18)</f>
        <v>18</v>
      </c>
      <c r="E25" s="73"/>
      <c r="F25" s="73">
        <f>1368/1368*29</f>
        <v>29</v>
      </c>
      <c r="G25" s="72"/>
      <c r="H25" s="72">
        <f t="shared" si="7"/>
        <v>47</v>
      </c>
      <c r="I25" s="3"/>
      <c r="J25" s="8">
        <f>1876*0+3/3*2382*0+4/4*18760+7/7*9610+12/12*9160+9/9*1368/1368*28708</f>
        <v>66238</v>
      </c>
      <c r="K25" s="29">
        <f t="shared" si="5"/>
        <v>1.4093191489361703</v>
      </c>
      <c r="L25" s="99">
        <f>8460+11010+18060</f>
        <v>37530</v>
      </c>
      <c r="M25" s="99"/>
      <c r="N25" s="99"/>
      <c r="O25" s="99"/>
      <c r="P25" s="9"/>
      <c r="Q25" s="9"/>
      <c r="R25" s="9"/>
      <c r="S25" s="9"/>
      <c r="T25" s="9"/>
      <c r="U25" s="9"/>
      <c r="V25" s="54">
        <f aca="true" t="shared" si="8" ref="V25:V33">SUM(P25:U25)</f>
        <v>0</v>
      </c>
      <c r="W25" s="96" t="s">
        <v>16</v>
      </c>
      <c r="X25" s="15"/>
      <c r="Y25" s="29"/>
      <c r="AA25" s="104"/>
    </row>
    <row r="26" spans="1:27" s="11" customFormat="1" ht="24.75" customHeight="1">
      <c r="A26" s="81" t="s">
        <v>140</v>
      </c>
      <c r="B26" s="64"/>
      <c r="C26" s="72"/>
      <c r="D26" s="72">
        <f>6/6*(931+1100/1100*44)</f>
        <v>975</v>
      </c>
      <c r="E26" s="73"/>
      <c r="F26" s="73">
        <f>1100/1100*-100</f>
        <v>-100</v>
      </c>
      <c r="G26" s="72"/>
      <c r="H26" s="72">
        <f t="shared" si="7"/>
        <v>875</v>
      </c>
      <c r="I26" s="3"/>
      <c r="J26" s="8">
        <f>(404/404)*4/4*41082/41082*(30000*0+5/5*(819159+1100/1100*(172840*0+6/6*43600))+12/12*815991)</f>
        <v>1678750</v>
      </c>
      <c r="K26" s="29">
        <f t="shared" si="5"/>
        <v>1.9185714285714286</v>
      </c>
      <c r="L26" s="99">
        <f>2090430+84/84*815991+1368/1368*28708+2010/2010*819159+43600-SUM(J24:J26,J128,J129)</f>
        <v>0</v>
      </c>
      <c r="M26" s="99"/>
      <c r="N26" s="99"/>
      <c r="O26" s="99"/>
      <c r="P26" s="9"/>
      <c r="Q26" s="9"/>
      <c r="R26" s="9"/>
      <c r="S26" s="9"/>
      <c r="T26" s="9"/>
      <c r="U26" s="9"/>
      <c r="V26" s="54">
        <f t="shared" si="8"/>
        <v>0</v>
      </c>
      <c r="W26" s="96" t="s">
        <v>16</v>
      </c>
      <c r="X26" s="15"/>
      <c r="Y26" s="29"/>
      <c r="AA26" s="104"/>
    </row>
    <row r="27" spans="1:27" ht="21.75">
      <c r="A27" s="48" t="s">
        <v>141</v>
      </c>
      <c r="B27" s="64">
        <v>3940</v>
      </c>
      <c r="C27" s="72">
        <f>7/7*99/99*(84.5+5)</f>
        <v>89.5</v>
      </c>
      <c r="H27" s="72">
        <f t="shared" si="7"/>
        <v>4029.5</v>
      </c>
      <c r="J27" s="8">
        <f>3/3*985000+6/6*(985000+(5000+84500)*0*9/9)+9/9*(985000+99/99*(5000+84500))+11/11*985000</f>
        <v>4029500</v>
      </c>
      <c r="K27" s="29">
        <f t="shared" si="5"/>
        <v>1</v>
      </c>
      <c r="L27" s="99">
        <f>26+102/102*17+(4/4)*120+42</f>
        <v>205</v>
      </c>
      <c r="O27" s="36" t="s">
        <v>39</v>
      </c>
      <c r="P27" s="9">
        <f>738</f>
        <v>738</v>
      </c>
      <c r="Q27" s="9"/>
      <c r="R27" s="9"/>
      <c r="S27" s="9"/>
      <c r="T27" s="9"/>
      <c r="U27" s="9"/>
      <c r="V27" s="68">
        <f t="shared" si="8"/>
        <v>738</v>
      </c>
      <c r="W27" s="96" t="s">
        <v>16</v>
      </c>
      <c r="X27" s="15">
        <f>(2776000*0+3/3*4164000*0+4/4*5552000*0+6940000*0+6/6*8328000*0+7/7*9716000*0+8/8*11104000*0+9/9*12492000*0+10/10*13880000*0+11/11*15268000*0+12/12*16653000)/16653*738-22.1582*0+3/3*(466.7627455-533.2373*0)*0+4/4*-44.31634*0+5/5*444.6046*0+6/6*-66.47451*0+7/7*-577.553594*0+8/8*-88.6327*0+9/9*400.28823635*0-110.7908*0+11/11*378.130067*0</f>
        <v>738000</v>
      </c>
      <c r="Y27" s="29">
        <f>X27/(V27*1000)</f>
        <v>1</v>
      </c>
      <c r="Z27" s="11"/>
      <c r="AA27" s="15">
        <f>X27-V27*1000*12/12</f>
        <v>0</v>
      </c>
    </row>
    <row r="28" spans="1:25" s="11" customFormat="1" ht="24.75" customHeight="1">
      <c r="A28" s="81" t="s">
        <v>142</v>
      </c>
      <c r="B28" s="64"/>
      <c r="C28" s="72"/>
      <c r="D28" s="72">
        <f>6/6*(120+26+102/102*17)</f>
        <v>163</v>
      </c>
      <c r="E28" s="73"/>
      <c r="F28" s="73"/>
      <c r="G28" s="72"/>
      <c r="H28" s="72">
        <f t="shared" si="7"/>
        <v>163</v>
      </c>
      <c r="I28" s="3"/>
      <c r="J28" s="8">
        <f>(169053.56*0+3/3*170761.62*0+4/4*(464335.99*0+5/5*308409.47*0+6/6*38283.43*0+7/7*229647.43*0+8/8*131875.51*0+9/9*346645.51*0+10/10*150567.03*0+11/11*223593.58*0+12/12*-267533.69+102/102*17248)+(4/4)*(3/3*-26700.63*0+4/4*19968*0+7/7*44112.27+10/10*69/69*17400+8/8*(-6702*51/51*0*9/9+61/61*99500)+9/9*51/51*47828*0))</f>
        <v>-89273.42000000001</v>
      </c>
      <c r="K28" s="29">
        <f t="shared" si="5"/>
        <v>-0.5476896932515338</v>
      </c>
      <c r="L28" s="99">
        <f>-293673.69+26140</f>
        <v>-267533.69</v>
      </c>
      <c r="M28" s="99"/>
      <c r="N28" s="99"/>
      <c r="O28" s="99"/>
      <c r="P28" s="9"/>
      <c r="Q28" s="9"/>
      <c r="R28" s="9"/>
      <c r="S28" s="9"/>
      <c r="T28" s="9"/>
      <c r="U28" s="9"/>
      <c r="V28" s="54">
        <f t="shared" si="8"/>
        <v>0</v>
      </c>
      <c r="W28" s="96" t="s">
        <v>16</v>
      </c>
      <c r="X28" s="15"/>
      <c r="Y28" s="29"/>
    </row>
    <row r="29" spans="1:25" s="11" customFormat="1" ht="24.75" customHeight="1">
      <c r="A29" s="81" t="s">
        <v>143</v>
      </c>
      <c r="B29" s="64"/>
      <c r="C29" s="72">
        <f>7/7*99/99*2988.6</f>
        <v>2988.6</v>
      </c>
      <c r="D29" s="72">
        <f>6/6*(1112/1112*1500)</f>
        <v>1500</v>
      </c>
      <c r="E29" s="73">
        <v>128.4</v>
      </c>
      <c r="F29" s="73">
        <f>12/12*(-24.4+99/99*-(2988.6-42)-16/16*1500)</f>
        <v>-4471</v>
      </c>
      <c r="G29" s="72"/>
      <c r="H29" s="72">
        <f t="shared" si="7"/>
        <v>146</v>
      </c>
      <c r="I29" s="3"/>
      <c r="J29" s="8">
        <f>11122011/11122011*(16560*0+3/3*157416*0+4/4*163416*0+7/7*291816*0+8/8*303216*0+10/10*756362*0+11/11*(817754+99/99*1837655)*0+12/12*(330491+99/99*42000))</f>
        <v>372491</v>
      </c>
      <c r="K29" s="29">
        <f t="shared" si="5"/>
        <v>2.551308219178082</v>
      </c>
      <c r="L29" s="99">
        <f>4499666.31+17248+5000+84500+161012.27+372491+8392000-SUM(J27:J29,J125,J127,J130,J117)</f>
        <v>0</v>
      </c>
      <c r="M29" s="99"/>
      <c r="N29" s="99"/>
      <c r="O29" s="4"/>
      <c r="P29" s="9"/>
      <c r="Q29" s="9"/>
      <c r="R29" s="9"/>
      <c r="S29" s="9"/>
      <c r="T29" s="9"/>
      <c r="U29" s="9"/>
      <c r="V29" s="54">
        <f t="shared" si="8"/>
        <v>0</v>
      </c>
      <c r="W29" s="96" t="s">
        <v>16</v>
      </c>
      <c r="X29" s="15"/>
      <c r="Y29" s="29"/>
    </row>
    <row r="30" spans="1:25" s="11" customFormat="1" ht="12" customHeight="1">
      <c r="A30" s="48" t="s">
        <v>3</v>
      </c>
      <c r="B30" s="64">
        <v>1100</v>
      </c>
      <c r="C30" s="72"/>
      <c r="D30" s="72"/>
      <c r="E30" s="73"/>
      <c r="F30" s="73"/>
      <c r="G30" s="72"/>
      <c r="H30" s="72">
        <f t="shared" si="7"/>
        <v>1100</v>
      </c>
      <c r="I30" s="3"/>
      <c r="J30" s="8">
        <f>3/3*275000+6/6*275000+(9/9+11/11)*275000</f>
        <v>1100000</v>
      </c>
      <c r="K30" s="29">
        <f t="shared" si="5"/>
        <v>1</v>
      </c>
      <c r="L30" s="99">
        <f>H127+H130+H27</f>
        <v>4811.7</v>
      </c>
      <c r="M30" s="99"/>
      <c r="N30" s="99"/>
      <c r="O30" s="8"/>
      <c r="P30" s="9"/>
      <c r="Q30" s="9"/>
      <c r="R30" s="9"/>
      <c r="S30" s="9"/>
      <c r="T30" s="9"/>
      <c r="U30" s="9"/>
      <c r="V30" s="54">
        <f t="shared" si="8"/>
        <v>0</v>
      </c>
      <c r="W30" s="96" t="s">
        <v>16</v>
      </c>
      <c r="X30" s="15"/>
      <c r="Y30" s="29"/>
    </row>
    <row r="31" spans="1:25" s="11" customFormat="1" ht="12.75" customHeight="1">
      <c r="A31" s="81" t="s">
        <v>18</v>
      </c>
      <c r="B31" s="64"/>
      <c r="C31" s="72"/>
      <c r="D31" s="72"/>
      <c r="E31" s="73"/>
      <c r="F31" s="73"/>
      <c r="G31" s="72"/>
      <c r="H31" s="72">
        <f t="shared" si="7"/>
        <v>0</v>
      </c>
      <c r="I31" s="3"/>
      <c r="J31" s="8">
        <f>-19322.22*0+5/5*-13118.17*0+5/5*8261.93*0+8/8*15896.71*0+9/9*31313*0+11/11*104193*0+12/12*0.2+(4/4)*4/4*(19322.22*0+12/12*(12650+118683.4))</f>
        <v>131333.6</v>
      </c>
      <c r="K31" s="29"/>
      <c r="L31" s="99">
        <f>8434-8392</f>
        <v>42</v>
      </c>
      <c r="M31" s="99"/>
      <c r="N31" s="99"/>
      <c r="O31" s="4"/>
      <c r="P31" s="9"/>
      <c r="Q31" s="9"/>
      <c r="R31" s="9"/>
      <c r="S31" s="9"/>
      <c r="T31" s="9"/>
      <c r="U31" s="9"/>
      <c r="V31" s="54">
        <f t="shared" si="8"/>
        <v>0</v>
      </c>
      <c r="W31" s="96" t="s">
        <v>16</v>
      </c>
      <c r="X31" s="15"/>
      <c r="Y31" s="29"/>
    </row>
    <row r="32" spans="1:25" s="11" customFormat="1" ht="12.75">
      <c r="A32" s="48" t="s">
        <v>17</v>
      </c>
      <c r="B32" s="64"/>
      <c r="C32" s="72"/>
      <c r="D32" s="72"/>
      <c r="E32" s="73"/>
      <c r="F32" s="73"/>
      <c r="G32" s="72"/>
      <c r="H32" s="72">
        <f t="shared" si="7"/>
        <v>0</v>
      </c>
      <c r="I32" s="3"/>
      <c r="J32" s="8"/>
      <c r="K32" s="29"/>
      <c r="L32" s="99">
        <f>4856.7-4029.5</f>
        <v>827.1999999999998</v>
      </c>
      <c r="M32" s="99"/>
      <c r="N32" s="99"/>
      <c r="O32" s="4" t="s">
        <v>128</v>
      </c>
      <c r="P32" s="9"/>
      <c r="Q32" s="9"/>
      <c r="R32" s="9"/>
      <c r="S32" s="9"/>
      <c r="T32" s="9"/>
      <c r="U32" s="9"/>
      <c r="V32" s="54">
        <f t="shared" si="8"/>
        <v>0</v>
      </c>
      <c r="W32" s="96" t="s">
        <v>16</v>
      </c>
      <c r="X32" s="15"/>
      <c r="Y32" s="29"/>
    </row>
    <row r="33" spans="1:25" s="11" customFormat="1" ht="12.75">
      <c r="A33" s="48" t="s">
        <v>4</v>
      </c>
      <c r="B33" s="64"/>
      <c r="C33" s="72"/>
      <c r="D33" s="72"/>
      <c r="E33" s="73"/>
      <c r="F33" s="73"/>
      <c r="G33" s="72"/>
      <c r="H33" s="72">
        <f t="shared" si="7"/>
        <v>0</v>
      </c>
      <c r="I33" s="3"/>
      <c r="J33" s="8"/>
      <c r="K33" s="29"/>
      <c r="L33" s="99"/>
      <c r="M33" s="99"/>
      <c r="N33" s="99"/>
      <c r="O33" s="4"/>
      <c r="P33" s="9"/>
      <c r="Q33" s="9"/>
      <c r="R33" s="9"/>
      <c r="S33" s="9"/>
      <c r="T33" s="9"/>
      <c r="U33" s="9"/>
      <c r="V33" s="54">
        <f t="shared" si="8"/>
        <v>0</v>
      </c>
      <c r="W33" s="96" t="s">
        <v>16</v>
      </c>
      <c r="X33" s="15"/>
      <c r="Y33" s="29"/>
    </row>
    <row r="34" spans="1:27" ht="15" customHeight="1">
      <c r="A34" s="80" t="s">
        <v>60</v>
      </c>
      <c r="B34" s="66">
        <f>SUM(B24:B33)</f>
        <v>6700</v>
      </c>
      <c r="C34" s="5">
        <f>SUM(C24:C33)</f>
        <v>3078.1</v>
      </c>
      <c r="D34" s="5">
        <f>SUM(D24:D33)</f>
        <v>2656</v>
      </c>
      <c r="E34" s="17">
        <f>SUM(E24:E33)</f>
        <v>128.4</v>
      </c>
      <c r="F34" s="17">
        <f>SUM(F24:F33)</f>
        <v>-4542</v>
      </c>
      <c r="G34" s="5"/>
      <c r="H34" s="5">
        <f>SUM(H24:H33)</f>
        <v>8020.5</v>
      </c>
      <c r="I34" s="100"/>
      <c r="J34" s="105">
        <f>SUM(J24:J33)</f>
        <v>8949039.18</v>
      </c>
      <c r="K34" s="30">
        <f>J34/(H34*1000)</f>
        <v>1.115770734991584</v>
      </c>
      <c r="L34" s="97"/>
      <c r="M34" s="97"/>
      <c r="N34" s="97"/>
      <c r="O34" s="78">
        <f>(H34+(H127+H128+5/5*H125+6/6*(H132+H129+H130+H131)+11/11*H117)-6700*0-5/5*6973.3*0-6/6*15413.2*0-7/7*18491.3*0-9/9*18619.7*0-11/11*27011.7*0-12/12*22709.6)+(J34+(J127+J128+J125+6/6*(J132+J129+J130+J131)+11/11*J117)-((170929.56*0+3/3*1978858.99*0+4/4*2388727.99)*0+5/5*3181682.3*0+6/6*4841496.36*0+7/7*5267014.63*0+8/8*5673075.49*0+9/9*7678659.78*0+10/10*7905299.3*0+11/11*11639752.85*0+12/12*23638139.18))</f>
        <v>0</v>
      </c>
      <c r="P34" s="5">
        <f aca="true" t="shared" si="9" ref="P34:U34">SUM(P24:P33)</f>
        <v>1185</v>
      </c>
      <c r="Q34" s="5">
        <f t="shared" si="9"/>
        <v>0</v>
      </c>
      <c r="R34" s="5">
        <f t="shared" si="9"/>
        <v>0</v>
      </c>
      <c r="S34" s="5">
        <f t="shared" si="9"/>
        <v>0</v>
      </c>
      <c r="T34" s="5">
        <f t="shared" si="9"/>
        <v>0</v>
      </c>
      <c r="U34" s="5">
        <f t="shared" si="9"/>
        <v>0</v>
      </c>
      <c r="V34" s="5">
        <f>SUM(V24:V33)</f>
        <v>1185</v>
      </c>
      <c r="W34" s="101"/>
      <c r="X34" s="106">
        <f>SUM(X24:X33)</f>
        <v>1185000</v>
      </c>
      <c r="Y34" s="30">
        <f>X34/(V34*1000)</f>
        <v>1</v>
      </c>
      <c r="Z34" s="102"/>
      <c r="AA34" s="107">
        <f>V34+5/5*(V125+V127+V128)+6/6*(V129+V130+V131+V132+V117)-((447+738)+5/5*273.3*0+6/6*6057.2*0+11/11*14449.2*0+12/12*14689.1)+(X34+X125+(X127+X128)+(X129+X130+X131)+X132+X117-((75000*0+224000)*0+(123000*0+369000)*0+6/6*273300*0+7/7*5665300*0+11/11*144492000*0+12/12*14689100))</f>
        <v>1185000</v>
      </c>
    </row>
    <row r="35" spans="1:25" s="11" customFormat="1" ht="21.75" customHeight="1">
      <c r="A35" s="48" t="s">
        <v>23</v>
      </c>
      <c r="B35" s="64">
        <v>100</v>
      </c>
      <c r="C35" s="72"/>
      <c r="D35" s="72">
        <f>6/6*147</f>
        <v>147</v>
      </c>
      <c r="E35" s="73"/>
      <c r="F35" s="73">
        <f>431-247</f>
        <v>184</v>
      </c>
      <c r="G35" s="72"/>
      <c r="H35" s="72">
        <f aca="true" t="shared" si="10" ref="H35:H44">SUM(B35:G35)</f>
        <v>431</v>
      </c>
      <c r="I35" s="3"/>
      <c r="J35" s="8">
        <f>3286*0+3/3*21617*0+4/4*22798*0+5/5*(28193*0+6/6*57716.18*0+7/7*58923.18*0+8/8*60018.18*0+9/9*61309.78*0+10/10*62807.78*0+11/11*93902.98*0+12/12*102052.18+(4/4)*(147000*0+7/7*298737))</f>
        <v>400789.18</v>
      </c>
      <c r="K35" s="29">
        <f aca="true" t="shared" si="11" ref="K35:K52">J35/(H35*1000)</f>
        <v>0.9299052900232019</v>
      </c>
      <c r="L35" s="99">
        <f>132+299</f>
        <v>431</v>
      </c>
      <c r="M35" s="99"/>
      <c r="N35" s="99"/>
      <c r="O35" s="4"/>
      <c r="P35" s="9"/>
      <c r="Q35" s="9"/>
      <c r="R35" s="9"/>
      <c r="S35" s="9"/>
      <c r="T35" s="9"/>
      <c r="U35" s="9"/>
      <c r="V35" s="54">
        <f aca="true" t="shared" si="12" ref="V35:V44">SUM(P35:U35)</f>
        <v>0</v>
      </c>
      <c r="W35" s="96" t="s">
        <v>16</v>
      </c>
      <c r="X35" s="15"/>
      <c r="Y35" s="29"/>
    </row>
    <row r="36" spans="1:25" s="11" customFormat="1" ht="12.75">
      <c r="A36" s="48" t="s">
        <v>36</v>
      </c>
      <c r="B36" s="64">
        <v>160</v>
      </c>
      <c r="C36" s="72"/>
      <c r="D36" s="72"/>
      <c r="E36" s="73"/>
      <c r="F36" s="73">
        <f>627-160</f>
        <v>467</v>
      </c>
      <c r="G36" s="72"/>
      <c r="H36" s="72">
        <f t="shared" si="10"/>
        <v>627</v>
      </c>
      <c r="I36" s="3"/>
      <c r="J36" s="8">
        <f>19253.6*0+3/3*22294.6*0+4/4*31640.6*0+5/5*41455.6*0+6/6*222941.42*0+7/7*229354.42*0+8/8*233922.02*0+9/9*250343.62*0+10/10*254239.62*0+11/11*406543.22*0+12/12*413882.82+(4/4)*(4/4*6432*0+7/7*18365.83*0+9/9*188558.93*0+11/11*252996.93*0+12/12*268986.93)</f>
        <v>682869.75</v>
      </c>
      <c r="K36" s="29">
        <f t="shared" si="11"/>
        <v>1.0891064593301436</v>
      </c>
      <c r="L36" s="99">
        <f>380+247</f>
        <v>627</v>
      </c>
      <c r="M36" s="99"/>
      <c r="N36" s="99"/>
      <c r="O36" s="4"/>
      <c r="P36" s="9"/>
      <c r="Q36" s="9"/>
      <c r="R36" s="9"/>
      <c r="S36" s="9"/>
      <c r="T36" s="9"/>
      <c r="U36" s="9"/>
      <c r="V36" s="54">
        <f t="shared" si="12"/>
        <v>0</v>
      </c>
      <c r="W36" s="96" t="s">
        <v>16</v>
      </c>
      <c r="X36" s="15"/>
      <c r="Y36" s="29"/>
    </row>
    <row r="37" spans="1:25" s="11" customFormat="1" ht="12" customHeight="1">
      <c r="A37" s="48" t="s">
        <v>93</v>
      </c>
      <c r="B37" s="64"/>
      <c r="C37" s="72"/>
      <c r="D37" s="72"/>
      <c r="E37" s="73"/>
      <c r="F37" s="73">
        <f>24</f>
        <v>24</v>
      </c>
      <c r="G37" s="72"/>
      <c r="H37" s="72">
        <f t="shared" si="10"/>
        <v>24</v>
      </c>
      <c r="I37" s="3"/>
      <c r="J37" s="8">
        <f>23614</f>
        <v>23614</v>
      </c>
      <c r="K37" s="29"/>
      <c r="L37" s="99">
        <f>24</f>
        <v>24</v>
      </c>
      <c r="M37" s="99"/>
      <c r="N37" s="99"/>
      <c r="O37" s="4"/>
      <c r="P37" s="9"/>
      <c r="Q37" s="9"/>
      <c r="R37" s="9"/>
      <c r="S37" s="9"/>
      <c r="T37" s="9"/>
      <c r="U37" s="9"/>
      <c r="V37" s="54"/>
      <c r="W37" s="96"/>
      <c r="X37" s="15"/>
      <c r="Y37" s="29"/>
    </row>
    <row r="38" spans="1:25" s="11" customFormat="1" ht="12" customHeight="1">
      <c r="A38" s="48" t="s">
        <v>5</v>
      </c>
      <c r="B38" s="64">
        <v>350</v>
      </c>
      <c r="C38" s="72"/>
      <c r="D38" s="72"/>
      <c r="E38" s="73"/>
      <c r="F38" s="73"/>
      <c r="G38" s="72"/>
      <c r="H38" s="72">
        <f t="shared" si="10"/>
        <v>350</v>
      </c>
      <c r="I38" s="3"/>
      <c r="J38" s="8">
        <f>47632*0+73183*0+4/4*101830*0+5/5*128952*0+6/6*156723*0+7/7*183918*0+8/8*206551*0+9/9*234285*0+10/10*260039*0+11/11*286405*0+12/12*313791</f>
        <v>313791</v>
      </c>
      <c r="K38" s="29">
        <f t="shared" si="11"/>
        <v>0.8965457142857143</v>
      </c>
      <c r="L38" s="99">
        <f>350</f>
        <v>350</v>
      </c>
      <c r="M38" s="99"/>
      <c r="N38" s="99"/>
      <c r="O38" s="4"/>
      <c r="P38" s="9"/>
      <c r="Q38" s="9"/>
      <c r="R38" s="9"/>
      <c r="S38" s="9"/>
      <c r="T38" s="9"/>
      <c r="U38" s="9"/>
      <c r="V38" s="54">
        <f t="shared" si="12"/>
        <v>0</v>
      </c>
      <c r="W38" s="96" t="s">
        <v>16</v>
      </c>
      <c r="X38" s="15"/>
      <c r="Y38" s="29"/>
    </row>
    <row r="39" spans="1:25" s="11" customFormat="1" ht="23.25">
      <c r="A39" s="48" t="s">
        <v>144</v>
      </c>
      <c r="B39" s="64"/>
      <c r="C39" s="72"/>
      <c r="D39" s="72">
        <f>6/6*445</f>
        <v>445</v>
      </c>
      <c r="E39" s="73"/>
      <c r="F39" s="73"/>
      <c r="G39" s="72"/>
      <c r="H39" s="72">
        <f t="shared" si="10"/>
        <v>445</v>
      </c>
      <c r="I39" s="3"/>
      <c r="J39" s="8">
        <f>4/4*445000.6</f>
        <v>445000.6</v>
      </c>
      <c r="K39" s="29"/>
      <c r="L39" s="99">
        <f>445</f>
        <v>445</v>
      </c>
      <c r="M39" s="99"/>
      <c r="N39" s="99"/>
      <c r="O39" s="4"/>
      <c r="P39" s="9"/>
      <c r="Q39" s="9"/>
      <c r="R39" s="9"/>
      <c r="S39" s="9"/>
      <c r="T39" s="9"/>
      <c r="U39" s="9"/>
      <c r="V39" s="54">
        <f t="shared" si="12"/>
        <v>0</v>
      </c>
      <c r="W39" s="96" t="s">
        <v>16</v>
      </c>
      <c r="X39" s="15"/>
      <c r="Y39" s="29"/>
    </row>
    <row r="40" spans="1:25" s="11" customFormat="1" ht="15" customHeight="1">
      <c r="A40" s="48" t="s">
        <v>83</v>
      </c>
      <c r="B40" s="64">
        <v>2700</v>
      </c>
      <c r="C40" s="72"/>
      <c r="D40" s="72"/>
      <c r="E40" s="73">
        <f>-248.3-62.3-21.6-30-9.4-16.4-66</f>
        <v>-454</v>
      </c>
      <c r="F40" s="73">
        <f>-(2246-2081)</f>
        <v>-165</v>
      </c>
      <c r="G40" s="72"/>
      <c r="H40" s="72">
        <f t="shared" si="10"/>
        <v>2081</v>
      </c>
      <c r="I40" s="3"/>
      <c r="J40" s="8">
        <f>271181.82*0+3/3*485205.24*0+4/4*782899.16*0+5/5*993464.87*0+6/6*1209711.64*0+7/7*1531840.05*0+8/8*1702113.05*0+9/9*1944071.96*0+10/10*2247684.72*0+11/11*2527372.23*0+12/12*2917405.2-81/81*(J122-24200)-13305/13305*J111+9021/9021*(1188*0+3/3*1189.51*0+4/4*1188*0+6/6*1194.05*0+7/7*1193.23*0+8/8*1211.78*0+9/9*1188*0+10/10*594*0+11/11*1188*0+12/12*594)+43512/43512*(3788*0+3/3*6978*0+4/4*-526*0+5/5*3260*0+6/6*7574*0+7/7*11326*0+8/8*3856*0+9/9*7608*0+10/10*137*0+11/11*3889*0+12/12*137)+(4/4)*12/12*1318.9</f>
        <v>1897455.1</v>
      </c>
      <c r="K40" s="29">
        <f t="shared" si="11"/>
        <v>0.911799663623258</v>
      </c>
      <c r="L40" s="99">
        <f>2963-882</f>
        <v>2081</v>
      </c>
      <c r="M40" s="99"/>
      <c r="N40" s="99"/>
      <c r="O40" s="4"/>
      <c r="P40" s="9">
        <v>470</v>
      </c>
      <c r="Q40" s="9"/>
      <c r="R40" s="9"/>
      <c r="S40" s="9"/>
      <c r="T40" s="9"/>
      <c r="U40" s="9"/>
      <c r="V40" s="70">
        <f t="shared" si="12"/>
        <v>470</v>
      </c>
      <c r="W40" s="96" t="s">
        <v>16</v>
      </c>
      <c r="X40" s="24">
        <f>66013*0+3/3*103286*0+4/4*147470*0+5/5*186352*0+6/6*225481*0+7/7*264036*0+8/8*293531*0+9/9*331845*0+10/10*368335*0+11/11*406164*0+12/12*447417</f>
        <v>447417</v>
      </c>
      <c r="Y40" s="29">
        <f>X40/(V40*1000)</f>
        <v>0.9519510638297872</v>
      </c>
    </row>
    <row r="41" spans="1:25" s="11" customFormat="1" ht="12" customHeight="1">
      <c r="A41" s="48" t="s">
        <v>6</v>
      </c>
      <c r="B41" s="64">
        <v>50</v>
      </c>
      <c r="C41" s="72"/>
      <c r="D41" s="72"/>
      <c r="E41" s="73"/>
      <c r="F41" s="73"/>
      <c r="G41" s="72"/>
      <c r="H41" s="72">
        <f t="shared" si="10"/>
        <v>50</v>
      </c>
      <c r="I41" s="3"/>
      <c r="J41" s="108">
        <f>(5/5)*8120*0+3/3*12650*0+4/4*16632*0+5/5*20830*0+6/6*24474*0+7/7*28102*0+8/8*31788*0+9/9*35282*0+10/10*38762*0+42322*0+12/12*45874</f>
        <v>45874</v>
      </c>
      <c r="K41" s="29">
        <f t="shared" si="11"/>
        <v>0.91748</v>
      </c>
      <c r="L41" s="99">
        <f>50</f>
        <v>50</v>
      </c>
      <c r="M41" s="99"/>
      <c r="N41" s="99"/>
      <c r="O41" s="21" t="s">
        <v>40</v>
      </c>
      <c r="P41" s="9"/>
      <c r="Q41" s="9"/>
      <c r="R41" s="9"/>
      <c r="S41" s="9"/>
      <c r="T41" s="9"/>
      <c r="U41" s="9"/>
      <c r="V41" s="54">
        <f t="shared" si="12"/>
        <v>0</v>
      </c>
      <c r="W41" s="96" t="s">
        <v>16</v>
      </c>
      <c r="X41" s="24">
        <f>(7899+12000)*0+(5/5)*(1515*0+3/3*74*0+4/4*((3/3)*1500*0+6/6*1607*0+7/7*1500*0+8/8*2002*0+9/9*(1772+14000)*0+10/10*1500*11/11*0*12/12+(1215+42)*0+5/5*12050*0))</f>
        <v>0</v>
      </c>
      <c r="Y41" s="29"/>
    </row>
    <row r="42" spans="1:25" s="11" customFormat="1" ht="12.75">
      <c r="A42" s="48" t="s">
        <v>7</v>
      </c>
      <c r="B42" s="64">
        <v>30</v>
      </c>
      <c r="C42" s="72"/>
      <c r="D42" s="72"/>
      <c r="E42" s="73">
        <f>5+2+40</f>
        <v>47</v>
      </c>
      <c r="F42" s="73">
        <v>-47</v>
      </c>
      <c r="G42" s="72"/>
      <c r="H42" s="72">
        <f t="shared" si="10"/>
        <v>30</v>
      </c>
      <c r="I42" s="3"/>
      <c r="J42" s="108">
        <f>4/4*76*0+5/5*5262*0+6/6*10762*0+8/8*11096*0+9/9*16466*0+10/10*20156*0+12/12*13340+70811/70811*(5400*0+7/7*28190*0+8/8*33245*0+12/12*12845)</f>
        <v>26185</v>
      </c>
      <c r="K42" s="29">
        <f t="shared" si="11"/>
        <v>0.8728333333333333</v>
      </c>
      <c r="L42" s="99">
        <f>15+15</f>
        <v>30</v>
      </c>
      <c r="M42" s="99"/>
      <c r="N42" s="99"/>
      <c r="O42" s="4"/>
      <c r="P42" s="9"/>
      <c r="Q42" s="9"/>
      <c r="R42" s="9"/>
      <c r="S42" s="9"/>
      <c r="T42" s="9"/>
      <c r="U42" s="9"/>
      <c r="V42" s="54">
        <f t="shared" si="12"/>
        <v>0</v>
      </c>
      <c r="W42" s="96" t="s">
        <v>16</v>
      </c>
      <c r="X42" s="15"/>
      <c r="Y42" s="29"/>
    </row>
    <row r="43" spans="1:25" s="11" customFormat="1" ht="12.75">
      <c r="A43" s="48" t="s">
        <v>8</v>
      </c>
      <c r="B43" s="64"/>
      <c r="C43" s="72"/>
      <c r="D43" s="72"/>
      <c r="E43" s="73"/>
      <c r="F43" s="73">
        <v>5</v>
      </c>
      <c r="G43" s="72"/>
      <c r="H43" s="72">
        <f t="shared" si="10"/>
        <v>5</v>
      </c>
      <c r="I43" s="3"/>
      <c r="J43" s="108">
        <f>(5/5)*5000</f>
        <v>5000</v>
      </c>
      <c r="K43" s="29"/>
      <c r="L43" s="99">
        <f>5</f>
        <v>5</v>
      </c>
      <c r="M43" s="99"/>
      <c r="N43" s="99"/>
      <c r="O43" s="4" t="s">
        <v>129</v>
      </c>
      <c r="P43" s="9"/>
      <c r="Q43" s="9"/>
      <c r="R43" s="9"/>
      <c r="S43" s="9"/>
      <c r="T43" s="9"/>
      <c r="U43" s="9"/>
      <c r="V43" s="54">
        <f t="shared" si="12"/>
        <v>0</v>
      </c>
      <c r="W43" s="96" t="s">
        <v>16</v>
      </c>
      <c r="X43" s="15"/>
      <c r="Y43" s="29"/>
    </row>
    <row r="44" spans="1:25" s="11" customFormat="1" ht="12.75">
      <c r="A44" s="48" t="s">
        <v>145</v>
      </c>
      <c r="B44" s="64">
        <v>150</v>
      </c>
      <c r="C44" s="72"/>
      <c r="D44" s="72">
        <f>6/6*(120-90)</f>
        <v>30</v>
      </c>
      <c r="E44" s="73">
        <v>45</v>
      </c>
      <c r="F44" s="73">
        <v>60</v>
      </c>
      <c r="G44" s="72"/>
      <c r="H44" s="72">
        <f t="shared" si="10"/>
        <v>285</v>
      </c>
      <c r="I44" s="3"/>
      <c r="J44" s="108">
        <f>4284+(5/5)*(((3000*0+5/5*6750)+4/4*33000)*0+7/7*(11053*0+8/8*17384*0+9/9*21834*0+11/11*25884*0+12/12*29744+4351/4351*(1000*0+11/11*67000*0+12/12*1500)))+(3/3)*((5/5*40540*0+6/6*85880*0+9/9*112880*0+10/10*133490*0+12/12*177170)+12/12*8000)+(5/5)*12/12*15300</f>
        <v>235998</v>
      </c>
      <c r="K44" s="29">
        <f t="shared" si="11"/>
        <v>0.8280631578947368</v>
      </c>
      <c r="L44" s="99">
        <f>5+120+85+60+15</f>
        <v>285</v>
      </c>
      <c r="M44" s="99"/>
      <c r="N44" s="99"/>
      <c r="O44" s="4"/>
      <c r="P44" s="9"/>
      <c r="Q44" s="9"/>
      <c r="R44" s="9"/>
      <c r="S44" s="9"/>
      <c r="T44" s="9"/>
      <c r="U44" s="9"/>
      <c r="V44" s="54">
        <f t="shared" si="12"/>
        <v>0</v>
      </c>
      <c r="W44" s="96" t="s">
        <v>16</v>
      </c>
      <c r="X44" s="15"/>
      <c r="Y44" s="29"/>
    </row>
    <row r="45" spans="1:27" ht="15" customHeight="1">
      <c r="A45" s="80" t="s">
        <v>58</v>
      </c>
      <c r="B45" s="67">
        <f>SUM(B35:B44)</f>
        <v>3540</v>
      </c>
      <c r="C45" s="17">
        <f>SUM(C35:C44)</f>
        <v>0</v>
      </c>
      <c r="D45" s="17">
        <f>SUM(D35:D44)</f>
        <v>622</v>
      </c>
      <c r="E45" s="17">
        <f>SUM(E35:E44)</f>
        <v>-362</v>
      </c>
      <c r="F45" s="17">
        <f>SUM(F35:F44)</f>
        <v>528</v>
      </c>
      <c r="G45" s="17"/>
      <c r="H45" s="17">
        <f>SUM(H35:H44)</f>
        <v>4328</v>
      </c>
      <c r="I45" s="100"/>
      <c r="J45" s="52">
        <f>SUM(J35:J44)</f>
        <v>4076576.63</v>
      </c>
      <c r="K45" s="30">
        <f>J45/(H45*1000)</f>
        <v>0.9419077241219963</v>
      </c>
      <c r="L45" s="97">
        <f>SUM(L35:L44)</f>
        <v>4328</v>
      </c>
      <c r="M45" s="97"/>
      <c r="N45" s="97"/>
      <c r="O45" s="78">
        <f>(H45+1/1*(H108+H109+5/5*H124+10/10*H111)-3540*0-1/1*21640*0-5/5*21690*0-6/6*22312*0-9/9*23550*0-10/10*28251*0-12/12*28842)+(J45+1/1*(J108+J109+J124+10/10*J111+(J122-24200))-((2/2)*4284+(3/3)*(369943.42*0+634081.35*0+4/4*963443.76*0+5/5*1260667.47*0+6/6*1765354.29*0+7/7*2136748.88*0+8/8*2327866.03*0+9/9*2646000.36*0+10/10*3005306.12*0+11/11*3499104.43*0+12/12*4006646.2)+(4/4)*(4/4*451432.6*0+5/5*598432.6*0+7/7*762103.43*0+9/9*932296.53*0+11/11*996734.53*0+12/12*1014043.43)+(5/5)*(3590960*0+3/3*5679430*0+4/4*7702336*0+5/5*9790431*0+6/6*11788551*0+7/7*(16494482.31*0+13591346*0+8/8*15326684*0+9/9*16992238*0+10/10*18870568*0+11/11*20671462*0+12/12*22722354))))</f>
        <v>0</v>
      </c>
      <c r="P45" s="17">
        <f aca="true" t="shared" si="13" ref="P45:U45">SUM(P35:P44)</f>
        <v>470</v>
      </c>
      <c r="Q45" s="17">
        <f t="shared" si="13"/>
        <v>0</v>
      </c>
      <c r="R45" s="17">
        <f t="shared" si="13"/>
        <v>0</v>
      </c>
      <c r="S45" s="17">
        <f t="shared" si="13"/>
        <v>0</v>
      </c>
      <c r="T45" s="17">
        <f t="shared" si="13"/>
        <v>0</v>
      </c>
      <c r="U45" s="17">
        <f t="shared" si="13"/>
        <v>0</v>
      </c>
      <c r="V45" s="5">
        <f>SUM(V35:V44)</f>
        <v>470</v>
      </c>
      <c r="W45" s="101"/>
      <c r="X45" s="106">
        <f>SUM(X35:X44)</f>
        <v>447417</v>
      </c>
      <c r="Y45" s="30">
        <f>X45/(V45*1000)</f>
        <v>0.9519510638297872</v>
      </c>
      <c r="Z45" s="97">
        <f>2/2*5001626-(X45+X108+X109)</f>
        <v>-18827791</v>
      </c>
      <c r="AA45" s="98">
        <f>(V45+V108+V109+V111+5/5*V124-(470+18100+5/5*50-18620*0+9/9*1600+10/10*(882+3819)+12/12*(663-600)-24984*0))+((X45+X108+X109+X111+5/5*X124-((3/3)*(85912*0+3/3*103360*0+4/4*491370*0+5/5*837052*0+876288*0+7/7*914736*0+9/9*1008817*0+10/10*1301835*0+11/11*1339664*0+12/12*1379417)+(5/5)*3901515*0+3/3*6205000*0+4/4*8727257*0+5/5*10308050*0+12398000*0+7/7*14707000*0+9/9*18906000*0+10/10*20288000*0+11/11*21912000*0+12/12*23382000-9218627*0+5/5*11145102*0+6/6*12398000*0)))</f>
        <v>0</v>
      </c>
    </row>
    <row r="46" spans="1:27" ht="24.75" customHeight="1">
      <c r="A46" s="48" t="s">
        <v>146</v>
      </c>
      <c r="B46" s="64">
        <f>1384*0+(3/3*506+4/4*878)</f>
        <v>1384</v>
      </c>
      <c r="C46" s="72">
        <f>7/7*1047.8</f>
        <v>1047.8</v>
      </c>
      <c r="D46" s="72">
        <f>6/6*(2380-878)</f>
        <v>1502</v>
      </c>
      <c r="F46" s="73">
        <f>6625-3933.8</f>
        <v>2691.2</v>
      </c>
      <c r="H46" s="72">
        <f aca="true" t="shared" si="14" ref="H46:H54">SUM(B46:G46)</f>
        <v>6625</v>
      </c>
      <c r="J46" s="8">
        <f>133151.53*0+3/3*197370.53*0+4/4*219955.09*0+5/5*311531.56*0+6/6*454084.14*0+7/7*528105.14*0+8/8*500758.97*0+9/9*611667.89*0+10/10*624860.89*0+11/11*708398.81*0+12/12*688007.35+(4/4)*(54000*0+3/3*87066.22*0+4/4*64000*0+6/6*73600*0+7/7*96312.92*0+9/9*6622272.92*0+10/10*6631272.92*0+11/11*(6685272.92-J118)*0+12/12*6685272.92-J118)</f>
        <v>6573280.27</v>
      </c>
      <c r="K46" s="29">
        <f t="shared" si="11"/>
        <v>0.9921932483018867</v>
      </c>
      <c r="L46" s="97">
        <f>506+6919-800</f>
        <v>6625</v>
      </c>
      <c r="M46" s="97"/>
      <c r="N46" s="97"/>
      <c r="O46" s="4"/>
      <c r="P46" s="9"/>
      <c r="Q46" s="9"/>
      <c r="R46" s="9"/>
      <c r="S46" s="9"/>
      <c r="T46" s="9">
        <v>125</v>
      </c>
      <c r="U46" s="9"/>
      <c r="V46" s="54">
        <f aca="true" t="shared" si="15" ref="V46:V54">SUM(P46:U46)</f>
        <v>125</v>
      </c>
      <c r="W46" s="96" t="s">
        <v>16</v>
      </c>
      <c r="X46" s="15">
        <f>17812*0+3/3*8358*0+4/4*30984*0+5/5*6611*0+9/9*178117*0+10/10*(113337.25*0+11/11*(99212.75*0*12/12+253948.25+12/12*-126633))</f>
        <v>127315.25</v>
      </c>
      <c r="Y46" s="29"/>
      <c r="Z46" s="11"/>
      <c r="AA46" s="109" t="s">
        <v>121</v>
      </c>
    </row>
    <row r="47" spans="1:27" s="11" customFormat="1" ht="12.75" customHeight="1">
      <c r="A47" s="48" t="s">
        <v>9</v>
      </c>
      <c r="B47" s="64">
        <f>2200*0+(3/3*2108+4/4*92)</f>
        <v>2200</v>
      </c>
      <c r="C47" s="72"/>
      <c r="D47" s="72">
        <f>6/6*(2193.8-(53.8+32)-2108)</f>
        <v>0</v>
      </c>
      <c r="E47" s="73">
        <v>-65</v>
      </c>
      <c r="F47" s="73">
        <f>2057-2135</f>
        <v>-78</v>
      </c>
      <c r="G47" s="72"/>
      <c r="H47" s="72">
        <f t="shared" si="14"/>
        <v>2057</v>
      </c>
      <c r="I47" s="3"/>
      <c r="J47" s="8">
        <f>168963.63*0+3/3*350539.03*0+4/4*608105.15*0+5/5*752403.83*0+6/6*(848723.82*0+7/7*1111795.82*0+8/8*1271586.68*0+9/9*1442440.52*0+10/10*1641933.92*0+11/11*1791053*0+12/12*2064228.07-81/81*53800-34053/34053*32000)+(4/4)*(5040*0+3/3*23322.82*0+4/4*7188)</f>
        <v>1985616.07</v>
      </c>
      <c r="K47" s="29">
        <f t="shared" si="11"/>
        <v>0.9652970685464268</v>
      </c>
      <c r="L47" s="97">
        <f>2115.8-53.8-32+27</f>
        <v>2057</v>
      </c>
      <c r="M47" s="97"/>
      <c r="N47" s="97"/>
      <c r="O47" s="4"/>
      <c r="P47" s="9">
        <v>125</v>
      </c>
      <c r="Q47" s="9"/>
      <c r="R47" s="9"/>
      <c r="S47" s="9"/>
      <c r="T47" s="9">
        <v>10</v>
      </c>
      <c r="U47" s="9"/>
      <c r="V47" s="54">
        <f t="shared" si="15"/>
        <v>135</v>
      </c>
      <c r="W47" s="96" t="s">
        <v>16</v>
      </c>
      <c r="X47" s="15">
        <f>20914*0+3/3*36819*0+4/4*60578*0+5/5*72493*0+7/7*89497*0+8/8*97336*0+9/9*108520*0+11/11*124396*0+12/12*156474</f>
        <v>156474</v>
      </c>
      <c r="Y47" s="29">
        <f>X47/(V47*1000)</f>
        <v>1.1590666666666667</v>
      </c>
      <c r="AA47" s="29"/>
    </row>
    <row r="48" spans="1:25" s="11" customFormat="1" ht="12.75" customHeight="1">
      <c r="A48" s="48" t="s">
        <v>10</v>
      </c>
      <c r="B48" s="64">
        <f>2509*0+(3/3*834+4/4*1675)</f>
        <v>2509</v>
      </c>
      <c r="C48" s="72"/>
      <c r="D48" s="72"/>
      <c r="E48" s="73">
        <f>(3/3)*(2+8+2)+(4/4)*(8+24)</f>
        <v>44</v>
      </c>
      <c r="F48" s="73">
        <f>1081-2553</f>
        <v>-1472</v>
      </c>
      <c r="G48" s="72"/>
      <c r="H48" s="72">
        <f t="shared" si="14"/>
        <v>1081</v>
      </c>
      <c r="I48" s="3"/>
      <c r="J48" s="8">
        <f>104438*0+3/3*166513*0+4/4*225971.72*0+5/5*281946.72*0+6/6*429256.18*0+7/7*530397.18*0+8/8*550012.58*0+9/9*617754.98*0+10/10*616146.98*0+11/11*833456.38*0+12/12*926645.78+(4/4)*(3120*0+3/3*46692*0+4/4*110628*0+5/5*116045.8*0+7/7*123547.8*0+8/8*133147.8*0+10/10*134359.8*0+11/11*152359.8*0+12/12*62727.2)-J49</f>
        <v>989372.98</v>
      </c>
      <c r="K48" s="29">
        <f t="shared" si="11"/>
        <v>0.9152386493987049</v>
      </c>
      <c r="L48" s="97">
        <f>834+247</f>
        <v>1081</v>
      </c>
      <c r="M48" s="97"/>
      <c r="N48" s="97"/>
      <c r="O48" s="4"/>
      <c r="P48" s="9">
        <v>110</v>
      </c>
      <c r="Q48" s="9"/>
      <c r="R48" s="9"/>
      <c r="S48" s="9"/>
      <c r="T48" s="9">
        <v>-50</v>
      </c>
      <c r="U48" s="9"/>
      <c r="V48" s="54">
        <f t="shared" si="15"/>
        <v>60</v>
      </c>
      <c r="W48" s="96" t="s">
        <v>16</v>
      </c>
      <c r="X48" s="15">
        <f>4400*0+6950*0+4/4*7500*0+9/9*16300*0+10/10*33850*0+11/11*50950*0+12/12*52950</f>
        <v>52950</v>
      </c>
      <c r="Y48" s="29">
        <f>X48/(V48*1000)</f>
        <v>0.8825</v>
      </c>
    </row>
    <row r="49" spans="1:25" s="11" customFormat="1" ht="12.75">
      <c r="A49" s="48" t="s">
        <v>147</v>
      </c>
      <c r="B49" s="64"/>
      <c r="C49" s="72"/>
      <c r="D49" s="72"/>
      <c r="E49" s="73"/>
      <c r="F49" s="73"/>
      <c r="G49" s="72"/>
      <c r="H49" s="72">
        <f t="shared" si="14"/>
        <v>0</v>
      </c>
      <c r="I49" s="3"/>
      <c r="J49" s="8"/>
      <c r="K49" s="29"/>
      <c r="L49" s="97"/>
      <c r="M49" s="97"/>
      <c r="N49" s="97"/>
      <c r="O49" s="4"/>
      <c r="P49" s="9"/>
      <c r="Q49" s="9"/>
      <c r="R49" s="9"/>
      <c r="S49" s="9"/>
      <c r="T49" s="9"/>
      <c r="U49" s="9"/>
      <c r="V49" s="54">
        <f t="shared" si="15"/>
        <v>0</v>
      </c>
      <c r="W49" s="96" t="s">
        <v>16</v>
      </c>
      <c r="X49" s="15"/>
      <c r="Y49" s="29"/>
    </row>
    <row r="50" spans="1:25" s="11" customFormat="1" ht="12.75">
      <c r="A50" s="48" t="s">
        <v>57</v>
      </c>
      <c r="B50" s="64">
        <v>12</v>
      </c>
      <c r="C50" s="72"/>
      <c r="D50" s="72"/>
      <c r="E50" s="73"/>
      <c r="F50" s="73"/>
      <c r="G50" s="72"/>
      <c r="H50" s="72">
        <f t="shared" si="14"/>
        <v>12</v>
      </c>
      <c r="I50" s="3"/>
      <c r="J50" s="8">
        <f>1000*0+3/3*1200*0+4/4*2400*0+5/5*3600*0+6/6*4800*0+7/7*6000*0+8/8*7200+(9/9+10/10+11/11+12/12*2)*1200</f>
        <v>13200</v>
      </c>
      <c r="K50" s="29">
        <f t="shared" si="11"/>
        <v>1.1</v>
      </c>
      <c r="L50" s="97">
        <f>12</f>
        <v>12</v>
      </c>
      <c r="M50" s="97"/>
      <c r="N50" s="97"/>
      <c r="O50" s="10"/>
      <c r="P50" s="9"/>
      <c r="Q50" s="9"/>
      <c r="R50" s="9"/>
      <c r="S50" s="9"/>
      <c r="T50" s="9"/>
      <c r="U50" s="9"/>
      <c r="V50" s="54">
        <f t="shared" si="15"/>
        <v>0</v>
      </c>
      <c r="W50" s="96" t="s">
        <v>16</v>
      </c>
      <c r="X50" s="15"/>
      <c r="Y50" s="29"/>
    </row>
    <row r="51" spans="1:25" s="11" customFormat="1" ht="12.75">
      <c r="A51" s="48" t="s">
        <v>56</v>
      </c>
      <c r="B51" s="64">
        <v>16</v>
      </c>
      <c r="C51" s="72"/>
      <c r="D51" s="72"/>
      <c r="E51" s="73"/>
      <c r="F51" s="73"/>
      <c r="G51" s="72"/>
      <c r="H51" s="72">
        <f t="shared" si="14"/>
        <v>16</v>
      </c>
      <c r="I51" s="3"/>
      <c r="J51" s="8">
        <f>918*0+3/3*11621*0+4/4*11717*0+8/8*13094*0+12/12*(13392+(4/4)*1676.4)</f>
        <v>15068.4</v>
      </c>
      <c r="K51" s="29">
        <f t="shared" si="11"/>
        <v>0.941775</v>
      </c>
      <c r="L51" s="97">
        <f>16</f>
        <v>16</v>
      </c>
      <c r="M51" s="97"/>
      <c r="N51" s="97"/>
      <c r="O51" s="4"/>
      <c r="P51" s="9"/>
      <c r="Q51" s="9"/>
      <c r="R51" s="9"/>
      <c r="S51" s="9"/>
      <c r="T51" s="9"/>
      <c r="U51" s="9"/>
      <c r="V51" s="54">
        <f t="shared" si="15"/>
        <v>0</v>
      </c>
      <c r="W51" s="96" t="s">
        <v>16</v>
      </c>
      <c r="X51" s="15"/>
      <c r="Y51" s="29"/>
    </row>
    <row r="52" spans="1:25" s="11" customFormat="1" ht="12.75" customHeight="1">
      <c r="A52" s="48" t="s">
        <v>148</v>
      </c>
      <c r="B52" s="64">
        <f>335+(3/3*(35+15+45+150+50+40))*0</f>
        <v>335</v>
      </c>
      <c r="C52" s="72"/>
      <c r="D52" s="72"/>
      <c r="E52" s="73">
        <f>106/106*-35+306/306*-15+406/406*(20-45)</f>
        <v>-75</v>
      </c>
      <c r="F52" s="73">
        <f>360-260</f>
        <v>100</v>
      </c>
      <c r="G52" s="72"/>
      <c r="H52" s="72">
        <f t="shared" si="14"/>
        <v>360</v>
      </c>
      <c r="I52" s="3"/>
      <c r="J52" s="8">
        <f>2011/2011*(4139*0+6/6*(10139*0+7/7*12059)+180611/180611*(9600*0+7/7*8502*0+12/12*18102))+4329/4329*(14380*0+9/9*25790*0+10/10*37420)+406/406*7/7*20000+1709/1709*(9/9*50260*0+11/11*54131)+151011/151011*(10/10*168287*0+11/11*179287*0+12/12*190931)+2412/2412*12/12*10770</f>
        <v>343413</v>
      </c>
      <c r="K52" s="29">
        <f t="shared" si="11"/>
        <v>0.953925</v>
      </c>
      <c r="L52" s="97">
        <f>12+37+20+190+54+18+29</f>
        <v>360</v>
      </c>
      <c r="M52" s="97"/>
      <c r="N52" s="97"/>
      <c r="O52" s="4"/>
      <c r="P52" s="9"/>
      <c r="Q52" s="9"/>
      <c r="R52" s="9"/>
      <c r="S52" s="9"/>
      <c r="T52" s="9"/>
      <c r="U52" s="9"/>
      <c r="V52" s="54">
        <f t="shared" si="15"/>
        <v>0</v>
      </c>
      <c r="W52" s="96" t="s">
        <v>16</v>
      </c>
      <c r="X52" s="15"/>
      <c r="Y52" s="29"/>
    </row>
    <row r="53" spans="1:25" s="11" customFormat="1" ht="12.75">
      <c r="A53" s="48" t="s">
        <v>11</v>
      </c>
      <c r="B53" s="64"/>
      <c r="C53" s="72"/>
      <c r="D53" s="72"/>
      <c r="E53" s="73"/>
      <c r="F53" s="73"/>
      <c r="G53" s="72"/>
      <c r="H53" s="72">
        <f t="shared" si="14"/>
        <v>0</v>
      </c>
      <c r="I53" s="3"/>
      <c r="J53" s="8"/>
      <c r="K53" s="29"/>
      <c r="L53" s="99"/>
      <c r="M53" s="99"/>
      <c r="N53" s="99"/>
      <c r="O53" s="4"/>
      <c r="P53" s="9"/>
      <c r="Q53" s="9"/>
      <c r="R53" s="9"/>
      <c r="S53" s="9"/>
      <c r="T53" s="9"/>
      <c r="U53" s="9"/>
      <c r="V53" s="54">
        <f t="shared" si="15"/>
        <v>0</v>
      </c>
      <c r="W53" s="96" t="s">
        <v>16</v>
      </c>
      <c r="X53" s="15"/>
      <c r="Y53" s="29"/>
    </row>
    <row r="54" spans="1:25" s="11" customFormat="1" ht="12" customHeight="1">
      <c r="A54" s="48" t="s">
        <v>84</v>
      </c>
      <c r="B54" s="64"/>
      <c r="C54" s="72"/>
      <c r="D54" s="72"/>
      <c r="E54" s="73"/>
      <c r="F54" s="73">
        <v>20</v>
      </c>
      <c r="G54" s="72"/>
      <c r="H54" s="72">
        <f t="shared" si="14"/>
        <v>20</v>
      </c>
      <c r="I54" s="3"/>
      <c r="J54" s="8">
        <f>(4/4)*31837*0+3/3*20077</f>
        <v>20077</v>
      </c>
      <c r="K54" s="29"/>
      <c r="L54" s="99">
        <f>20</f>
        <v>20</v>
      </c>
      <c r="M54" s="99"/>
      <c r="N54" s="99"/>
      <c r="O54" s="4"/>
      <c r="P54" s="9"/>
      <c r="Q54" s="9"/>
      <c r="R54" s="9"/>
      <c r="S54" s="9"/>
      <c r="T54" s="9"/>
      <c r="U54" s="9"/>
      <c r="V54" s="54">
        <f t="shared" si="15"/>
        <v>0</v>
      </c>
      <c r="W54" s="96" t="s">
        <v>16</v>
      </c>
      <c r="X54" s="15"/>
      <c r="Y54" s="29"/>
    </row>
    <row r="55" spans="1:27" ht="12.75">
      <c r="A55" s="80" t="s">
        <v>59</v>
      </c>
      <c r="B55" s="66">
        <f>SUM(B46:B54)</f>
        <v>6456</v>
      </c>
      <c r="C55" s="5">
        <f>SUM(C46:C54)</f>
        <v>1047.8</v>
      </c>
      <c r="D55" s="5">
        <f>SUM(D46:D54)</f>
        <v>1502</v>
      </c>
      <c r="E55" s="17">
        <f>SUM(E46:E54)</f>
        <v>-96</v>
      </c>
      <c r="F55" s="17">
        <f>SUM(F46:F54)</f>
        <v>1261.1999999999998</v>
      </c>
      <c r="G55" s="5"/>
      <c r="H55" s="5">
        <f>SUM(H46:H54)</f>
        <v>10171</v>
      </c>
      <c r="I55" s="100"/>
      <c r="J55" s="52">
        <f>SUM(J46:J54)</f>
        <v>9940027.72</v>
      </c>
      <c r="K55" s="30">
        <f>J55/(H55*1000)</f>
        <v>0.9772910942876807</v>
      </c>
      <c r="L55" s="99">
        <f>SUM(L46:L54)-H55</f>
        <v>0</v>
      </c>
      <c r="O55" s="78">
        <f>(H55+5/5*H123+6/6*(H133+H115)+11/11*H118-6456*0-5/5*6509.8*0-6/6*13043.8*0-7/7*14091.6*0-9/9*13995.6*0-11/11*14795.6*0-12/12*16056.8)+(J55+J123+J133+J115+11/11*J118-((408471.16*0+3/3*727243.56*0+4/4*1068148.96*0+5/5*1379718.11*0+6/6*1782700.14*0)+(4/4)*(93997*0+3/3*177158.04*0+4/4*201893*0+5/5*207310.8*0+5/5*216910.8*0))-5/5*1587028.91*0-6/6*1999610.94*0-7/7*2499681.86*0-8/8*2663918.95*0-9/9*9602254.11*0-10/10*10408353.51*0-11/11*11635517.91*0-12/12*13118256.92)</f>
        <v>1.862645149230957E-09</v>
      </c>
      <c r="P55" s="5">
        <f aca="true" t="shared" si="16" ref="P55:U55">SUM(P46:P54)</f>
        <v>235</v>
      </c>
      <c r="Q55" s="5">
        <f t="shared" si="16"/>
        <v>0</v>
      </c>
      <c r="R55" s="5">
        <f t="shared" si="16"/>
        <v>0</v>
      </c>
      <c r="S55" s="17">
        <f t="shared" si="16"/>
        <v>0</v>
      </c>
      <c r="T55" s="17">
        <f t="shared" si="16"/>
        <v>85</v>
      </c>
      <c r="U55" s="17">
        <f t="shared" si="16"/>
        <v>0</v>
      </c>
      <c r="V55" s="17">
        <f>SUM(V46:V54)</f>
        <v>320</v>
      </c>
      <c r="W55" s="100"/>
      <c r="X55" s="52">
        <f>SUM(X46:X54)</f>
        <v>336739.25</v>
      </c>
      <c r="Y55" s="30">
        <f>X55/(V55*1000)</f>
        <v>1.05231015625</v>
      </c>
      <c r="Z55" s="97">
        <f>2/2*37154-X55</f>
        <v>-299585.25</v>
      </c>
      <c r="AA55" s="78">
        <f>(V55+5/5*V123+6/6*(V133+V115)+11/11*V118-235*0-5/5*288.8*0-6/6*5320.8*0-11/11*6120.8*0-12/12*6205.8)+(X55+5/5*X123+(X133+X115)+X118-43126*0-3/3*52127*0-4/4*99062*0-140404*0-6/6*165793*0-7/7*5182797*0-9/9*5388737*0-10/10*5595455.5*0-11/11*6414307*0-12/12*6222539.25)</f>
        <v>0</v>
      </c>
    </row>
    <row r="56" spans="1:25" s="11" customFormat="1" ht="24.75" customHeight="1">
      <c r="A56" s="48" t="s">
        <v>149</v>
      </c>
      <c r="B56" s="64">
        <v>350</v>
      </c>
      <c r="C56" s="72"/>
      <c r="D56" s="72"/>
      <c r="E56" s="73"/>
      <c r="F56" s="73"/>
      <c r="G56" s="72"/>
      <c r="H56" s="72">
        <f>SUM(B56:G56)</f>
        <v>350</v>
      </c>
      <c r="I56" s="3"/>
      <c r="J56" s="8">
        <f>24499.19*0+3/3*41213.19*0+4/4*(65291.16+236)*0+5/5*(83745.22*0+6/6*220940.47*0+7/7*227770.08*0+8/8*247242.29*0+9/9*275048.77*0+10/10*269693.56*0+11/11*376809.56*0+12/12*432000.1-81/81*J134+1/1*(236*0+7/7*4825*0+12/12*6679)+9/9*2712011/2712011*30000)</f>
        <v>343679.1</v>
      </c>
      <c r="K56" s="29">
        <f>J56/(H56*1000)</f>
        <v>0.9819402857142856</v>
      </c>
      <c r="L56" s="99"/>
      <c r="M56" s="99"/>
      <c r="N56" s="99"/>
      <c r="O56" s="3"/>
      <c r="P56" s="9"/>
      <c r="Q56" s="9"/>
      <c r="R56" s="9"/>
      <c r="S56" s="9"/>
      <c r="T56" s="9"/>
      <c r="U56" s="9"/>
      <c r="V56" s="54">
        <f>SUM(P56:U56)</f>
        <v>0</v>
      </c>
      <c r="W56" s="96" t="s">
        <v>16</v>
      </c>
      <c r="X56" s="15"/>
      <c r="Y56" s="29"/>
    </row>
    <row r="57" spans="1:25" s="11" customFormat="1" ht="12.75" customHeight="1" hidden="1">
      <c r="A57" s="48"/>
      <c r="B57" s="64"/>
      <c r="C57" s="72"/>
      <c r="D57" s="72"/>
      <c r="E57" s="73"/>
      <c r="F57" s="73"/>
      <c r="G57" s="72"/>
      <c r="H57" s="72"/>
      <c r="I57" s="3"/>
      <c r="J57" s="8"/>
      <c r="K57" s="29"/>
      <c r="L57" s="99"/>
      <c r="M57" s="99"/>
      <c r="N57" s="99"/>
      <c r="O57" s="3"/>
      <c r="P57" s="6"/>
      <c r="Q57" s="6"/>
      <c r="R57" s="6"/>
      <c r="S57" s="7"/>
      <c r="T57" s="7"/>
      <c r="U57" s="7"/>
      <c r="V57" s="7"/>
      <c r="W57" s="3"/>
      <c r="X57" s="24"/>
      <c r="Y57" s="29"/>
    </row>
    <row r="58" spans="1:27" ht="15" customHeight="1">
      <c r="A58" s="80" t="s">
        <v>89</v>
      </c>
      <c r="B58" s="66">
        <f>SUM(B56:B57)</f>
        <v>350</v>
      </c>
      <c r="C58" s="5">
        <f>SUM(C56:C57)</f>
        <v>0</v>
      </c>
      <c r="D58" s="5">
        <f>SUM(D56:D57)</f>
        <v>0</v>
      </c>
      <c r="E58" s="17">
        <f>SUM(E56:E57)</f>
        <v>0</v>
      </c>
      <c r="F58" s="17">
        <f>SUM(F56:F57)</f>
        <v>0</v>
      </c>
      <c r="G58" s="5"/>
      <c r="H58" s="5">
        <f>SUM(H56:H57)</f>
        <v>350</v>
      </c>
      <c r="I58" s="100"/>
      <c r="J58" s="105">
        <f>SUM(J56:J57)</f>
        <v>343679.1</v>
      </c>
      <c r="K58" s="30">
        <f>J58/(H58*1000)</f>
        <v>0.9819402857142856</v>
      </c>
      <c r="O58" s="78">
        <f>(H58+7/7*H134-350*0-7/7*475)+(J58+J134-24499.19*0-3/3*41213.19*0-4/4*65527.16*0-5/5*83981.22*0-6/6*221176.47*0-7/7*232595.08*0-8/8*252067.29*0-9/9*309873.77*0-10/10*304518.56*0-11/11*411634.56*0-12/12*468679.1)</f>
        <v>0</v>
      </c>
      <c r="P58" s="5">
        <f aca="true" t="shared" si="17" ref="P58:U58">SUM(P56:P57)</f>
        <v>0</v>
      </c>
      <c r="Q58" s="5">
        <f t="shared" si="17"/>
        <v>0</v>
      </c>
      <c r="R58" s="5">
        <f t="shared" si="17"/>
        <v>0</v>
      </c>
      <c r="S58" s="17">
        <f t="shared" si="17"/>
        <v>0</v>
      </c>
      <c r="T58" s="17">
        <f t="shared" si="17"/>
        <v>0</v>
      </c>
      <c r="U58" s="17">
        <f t="shared" si="17"/>
        <v>0</v>
      </c>
      <c r="V58" s="17">
        <f>SUM(V56:V57)</f>
        <v>0</v>
      </c>
      <c r="W58" s="100"/>
      <c r="X58" s="52">
        <f>SUM(X56:X57)</f>
        <v>0</v>
      </c>
      <c r="Y58" s="29"/>
      <c r="Z58" s="11"/>
      <c r="AA58" s="98">
        <f>V58+V134-1/1*0-7/7*125+(X58+X134-1/1*0-7/7*125000)</f>
        <v>0</v>
      </c>
    </row>
    <row r="59" spans="1:25" s="11" customFormat="1" ht="12.75">
      <c r="A59" s="48" t="s">
        <v>150</v>
      </c>
      <c r="B59" s="64"/>
      <c r="C59" s="72"/>
      <c r="D59" s="72"/>
      <c r="E59" s="73"/>
      <c r="F59" s="73"/>
      <c r="G59" s="72"/>
      <c r="H59" s="72">
        <f>SUM(B59:G59)</f>
        <v>0</v>
      </c>
      <c r="I59" s="3"/>
      <c r="J59" s="8">
        <f>1320+6/6*1517/1517*(8462.54-8462.54)-10/10*1320</f>
        <v>0</v>
      </c>
      <c r="K59" s="29"/>
      <c r="L59" s="99"/>
      <c r="M59" s="99"/>
      <c r="N59" s="99"/>
      <c r="O59" s="3"/>
      <c r="P59" s="9"/>
      <c r="Q59" s="9"/>
      <c r="R59" s="9"/>
      <c r="S59" s="9"/>
      <c r="T59" s="9"/>
      <c r="U59" s="9"/>
      <c r="V59" s="54">
        <f>SUM(P59:U59)</f>
        <v>0</v>
      </c>
      <c r="W59" s="96" t="s">
        <v>16</v>
      </c>
      <c r="X59" s="15"/>
      <c r="Y59" s="29"/>
    </row>
    <row r="60" spans="1:25" s="11" customFormat="1" ht="12" customHeight="1">
      <c r="A60" s="48" t="s">
        <v>151</v>
      </c>
      <c r="B60" s="64">
        <f>3000-1/1*1000</f>
        <v>2000</v>
      </c>
      <c r="C60" s="72"/>
      <c r="D60" s="72"/>
      <c r="E60" s="73"/>
      <c r="F60" s="73">
        <f>1700-2000</f>
        <v>-300</v>
      </c>
      <c r="G60" s="72"/>
      <c r="H60" s="72">
        <f>SUM(B60:G60)</f>
        <v>1700</v>
      </c>
      <c r="I60" s="3"/>
      <c r="J60" s="8">
        <f>(4/4)*(903038*0+3/3*(4113507.43*0+4/4*1228429.97*0+5/5*1278565.97*0+6/6*(1249606.46*0+7/7*1265806.46*0+8/8*1285664.46+1517/1517*8462.54)+1/1*846536*0))+11/11*5154/5154*2159+1078/1078*12/12*850000</f>
        <v>2146286</v>
      </c>
      <c r="K60" s="29">
        <f aca="true" t="shared" si="18" ref="K60:K86">J60/(H60*1000)</f>
        <v>1.2625211764705881</v>
      </c>
      <c r="L60" s="99">
        <f>1700</f>
        <v>1700</v>
      </c>
      <c r="M60" s="99"/>
      <c r="N60" s="99"/>
      <c r="O60" s="10"/>
      <c r="P60" s="9">
        <v>12000</v>
      </c>
      <c r="Q60" s="9"/>
      <c r="R60" s="9">
        <f>6/6*-12000</f>
        <v>-12000</v>
      </c>
      <c r="S60" s="9"/>
      <c r="T60" s="9"/>
      <c r="U60" s="9"/>
      <c r="V60" s="54">
        <f>SUM(P60:U60)</f>
        <v>0</v>
      </c>
      <c r="W60" s="96" t="s">
        <v>16</v>
      </c>
      <c r="X60" s="15"/>
      <c r="Y60" s="29"/>
    </row>
    <row r="61" spans="1:25" s="11" customFormat="1" ht="12" customHeight="1">
      <c r="A61" s="48" t="s">
        <v>104</v>
      </c>
      <c r="B61" s="64">
        <f>3000*0+1/1*1000</f>
        <v>1000</v>
      </c>
      <c r="C61" s="72"/>
      <c r="D61" s="72">
        <f>6/6*1/1*1000</f>
        <v>1000</v>
      </c>
      <c r="E61" s="73">
        <v>550</v>
      </c>
      <c r="F61" s="73">
        <f>3695-2550</f>
        <v>1145</v>
      </c>
      <c r="G61" s="72"/>
      <c r="H61" s="72">
        <f>SUM(B61:G61)</f>
        <v>3695</v>
      </c>
      <c r="I61" s="3"/>
      <c r="J61" s="8">
        <f>(4/4)*1/1*(4/4*1214504*0+5/5*1898751*0+6/6*2545823*0+8/8*2981287*0+9/9*3102287*0+10/10*3402545*0+11/11*3677556*0+12/12*3972421)</f>
        <v>3972421</v>
      </c>
      <c r="K61" s="29">
        <f t="shared" si="18"/>
        <v>1.075080108254398</v>
      </c>
      <c r="L61" s="99">
        <f>3695</f>
        <v>3695</v>
      </c>
      <c r="M61" s="99"/>
      <c r="N61" s="99"/>
      <c r="O61" s="10"/>
      <c r="P61" s="9"/>
      <c r="Q61" s="9"/>
      <c r="R61" s="9"/>
      <c r="S61" s="9"/>
      <c r="T61" s="9"/>
      <c r="U61" s="9"/>
      <c r="V61" s="54"/>
      <c r="W61" s="96"/>
      <c r="X61" s="15"/>
      <c r="Y61" s="29"/>
    </row>
    <row r="62" spans="1:25" s="11" customFormat="1" ht="12" customHeight="1">
      <c r="A62" s="48" t="s">
        <v>12</v>
      </c>
      <c r="B62" s="64">
        <v>7300</v>
      </c>
      <c r="C62" s="72"/>
      <c r="D62" s="72"/>
      <c r="E62" s="73"/>
      <c r="F62" s="73">
        <f>7317-7300</f>
        <v>17</v>
      </c>
      <c r="G62" s="72"/>
      <c r="H62" s="72">
        <f>SUM(B62:G62)</f>
        <v>7317</v>
      </c>
      <c r="I62" s="3"/>
      <c r="J62" s="8">
        <f>500000*0+3/3*925000*0+4/4*(2125000*0+5/5*2925000*0+6/6*3525000*0+8/8*4325000*0+9/9*4925000*0+10/10*5525000*0+11/11*6125000*0+12/12*7300000+3632/3632*(17496*0+12/12*(23751.03+3639/3639*18029)))</f>
        <v>7341780.03</v>
      </c>
      <c r="K62" s="29">
        <f t="shared" si="18"/>
        <v>1.0033866379663796</v>
      </c>
      <c r="L62" s="99">
        <f>7300+17</f>
        <v>7317</v>
      </c>
      <c r="M62" s="99"/>
      <c r="N62" s="99"/>
      <c r="O62" s="10"/>
      <c r="P62" s="9"/>
      <c r="Q62" s="9"/>
      <c r="R62" s="9"/>
      <c r="S62" s="9"/>
      <c r="T62" s="9"/>
      <c r="U62" s="9"/>
      <c r="V62" s="54">
        <f>SUM(P62:U62)</f>
        <v>0</v>
      </c>
      <c r="W62" s="96" t="s">
        <v>16</v>
      </c>
      <c r="X62" s="15"/>
      <c r="Y62" s="29"/>
    </row>
    <row r="63" spans="1:27" ht="15" customHeight="1">
      <c r="A63" s="80" t="s">
        <v>75</v>
      </c>
      <c r="B63" s="66">
        <f>SUM(B59:B62)</f>
        <v>10300</v>
      </c>
      <c r="C63" s="5">
        <f>SUM(C59:C62)</f>
        <v>0</v>
      </c>
      <c r="D63" s="5">
        <f>SUM(D59:D62)</f>
        <v>1000</v>
      </c>
      <c r="E63" s="17">
        <f>SUM(E59:E62)</f>
        <v>550</v>
      </c>
      <c r="F63" s="17">
        <f>SUM(F59:F62)</f>
        <v>862</v>
      </c>
      <c r="G63" s="5"/>
      <c r="H63" s="5">
        <f>SUM(H59:H62)</f>
        <v>12712</v>
      </c>
      <c r="I63" s="100"/>
      <c r="J63" s="52">
        <f>SUM(J59:J62)</f>
        <v>13460487.030000001</v>
      </c>
      <c r="K63" s="30">
        <f>J63/(H63*1000)</f>
        <v>1.0588803516362493</v>
      </c>
      <c r="L63" s="99">
        <f>SUM(L59:L62)</f>
        <v>12712</v>
      </c>
      <c r="O63" s="78">
        <f>(H63-10300*0-6/6*11300*0-9/9*11850*0-12/12*12712)+(J63-((500000*0+3/3*925000*0+5/5*2925000*0+6/6*3525000*0+8/8*4325000*0+9/9*4925000*0+10/10*5525000*0+11/11*(6125000*0+12/12*7300000+2159))+(4/4)*(903038*0+4960043.43*0+4/4*4586749.97*0+5/5*3196132.97*0+6/6*3822708*0+7/7*3838908*0+8/8*4294230*0+9/9*4415230*0+10/10*4714168*0+11/11*4989179*0+12/12*6158328.03-(925000*0+2925000)*0)))</f>
        <v>0</v>
      </c>
      <c r="P63" s="5">
        <f aca="true" t="shared" si="19" ref="P63:U63">SUM(P59:P62)</f>
        <v>12000</v>
      </c>
      <c r="Q63" s="5">
        <f t="shared" si="19"/>
        <v>0</v>
      </c>
      <c r="R63" s="5">
        <f t="shared" si="19"/>
        <v>-12000</v>
      </c>
      <c r="S63" s="17">
        <f t="shared" si="19"/>
        <v>0</v>
      </c>
      <c r="T63" s="17">
        <f t="shared" si="19"/>
        <v>0</v>
      </c>
      <c r="U63" s="17">
        <f t="shared" si="19"/>
        <v>0</v>
      </c>
      <c r="V63" s="17">
        <f>SUM(V59:V62)</f>
        <v>0</v>
      </c>
      <c r="W63" s="100"/>
      <c r="X63" s="52">
        <f>SUM(X59:X62)</f>
        <v>0</v>
      </c>
      <c r="Y63" s="29"/>
      <c r="Z63" s="110">
        <f>2/2*179.61-X63</f>
        <v>179.61</v>
      </c>
      <c r="AA63" s="98">
        <f>(V63-12000)*0+(X63-1/1*0)</f>
        <v>0</v>
      </c>
    </row>
    <row r="64" spans="1:25" s="11" customFormat="1" ht="12.75">
      <c r="A64" s="48" t="s">
        <v>13</v>
      </c>
      <c r="B64" s="64">
        <v>2300</v>
      </c>
      <c r="C64" s="72"/>
      <c r="D64" s="72"/>
      <c r="E64" s="73"/>
      <c r="F64" s="73"/>
      <c r="G64" s="72"/>
      <c r="H64" s="72">
        <f aca="true" t="shared" si="20" ref="H64:H90">SUM(B64:G64)</f>
        <v>2300</v>
      </c>
      <c r="I64" s="3"/>
      <c r="J64" s="8">
        <f>5023/5023*(167159*0+3/3*334318*0+4/4*523928*0+5/5*691087*0+6/6*858246*0+7/7*1045770*0+8/8*1201189*0+9/9*1368348*0+10/10*1529959*0+11/11*1677722*0+12/12*1963522)+(10/10)*((218188*0+3/3*239305.4*0+4/4*243982.4*0+5/5*244813.4*0+6/6*246343.4*0+7/7*261990.4*0+8/8*(269721.4*0+314423.2*0+10/10*322969.2*0+11/11*326003.2*0+12/12*(3310375.84*0+370156.2)+107/107*4044*0+12/12*8837))+4/4*(91010/91010*3891+180910/180910*3891)*0*12/12)</f>
        <v>2342515.2</v>
      </c>
      <c r="K64" s="29">
        <f t="shared" si="18"/>
        <v>1.0184848695652176</v>
      </c>
      <c r="L64" s="99">
        <f>2130+285</f>
        <v>2415</v>
      </c>
      <c r="M64" s="99">
        <f>107/107*8837+903/903*1963522+910/910*370156.2</f>
        <v>2342515.2</v>
      </c>
      <c r="N64" s="99">
        <f>J64-M64</f>
        <v>0</v>
      </c>
      <c r="O64" s="37" t="s">
        <v>43</v>
      </c>
      <c r="P64" s="9">
        <v>100</v>
      </c>
      <c r="Q64" s="9"/>
      <c r="R64" s="9"/>
      <c r="S64" s="9"/>
      <c r="T64" s="9"/>
      <c r="U64" s="9"/>
      <c r="V64" s="68">
        <f aca="true" t="shared" si="21" ref="V64:V90">SUM(P64:U64)</f>
        <v>100</v>
      </c>
      <c r="W64" s="96" t="s">
        <v>16</v>
      </c>
      <c r="X64" s="15">
        <f>2196.12*0+3/3*11305.94*0+6/6*25896.68*0+9/9*67671*0+10/10*60681.72*0+85138.12+(10/10)*(3/3*38.72*0+6/6*77.77*0+9/9*117.16*0+12/12*156.46)</f>
        <v>85294.58</v>
      </c>
      <c r="Y64" s="29">
        <f>X64/(V64*1000)</f>
        <v>0.8529458</v>
      </c>
    </row>
    <row r="65" spans="1:27" s="102" customFormat="1" ht="49.5" customHeight="1">
      <c r="A65" s="48" t="s">
        <v>152</v>
      </c>
      <c r="B65" s="64">
        <f>47914-B67-B72-B73-B75-B84</f>
        <v>16200</v>
      </c>
      <c r="C65" s="72"/>
      <c r="D65" s="72">
        <f>6/6*((51/51*-600+52/52*650)+5169/5169*(603-6468)+6122/6122*(20-0))</f>
        <v>-5795</v>
      </c>
      <c r="E65" s="73"/>
      <c r="F65" s="73">
        <f>-6.4-6-8+300+(4/4)*(164+296-330-14-1358-2)+3612/3612*40+6122/6122*252+12+69.8</f>
        <v>-590.6</v>
      </c>
      <c r="G65" s="72"/>
      <c r="H65" s="72">
        <f t="shared" si="20"/>
        <v>9814.4</v>
      </c>
      <c r="I65" s="3"/>
      <c r="J65" s="8">
        <f>(1/1)*((11/11*644785.74*0+12/12*736732.61+311/311*40000+1190/1190*23520)-81/81*(9/9*89330*0+12/12*129680+98216/98216*26705.44*0))+(2/2)*(11/11*427511*0+12/12*484831)+(3/3)*((2834295.84+3/3*112195+5011/5011*-5441)*0+(3/3*((11/11*25059436.35*0+12/12*(28787890.11+170666)+2010/2010*55000+52/52*(613200+12/12*300000)))+3/3*(11/11*1196790*0+12/12*1357489)+5011/5011*-5441))+(4/4)*((8/8*1158031.09*1344322.89*1394711.98*11/11*1632160.43*0+12/12*1822425.89)+1/1*(6/6*325259*10/10*420730*11/11*421882*0+12/12*426801)+5/5*1600/1600*((0+4027.6)+3612/3612*9/9*40297))+(5/5)*(-82333.4*0+(11/11*-454569.7*0+12/12*48638.6-98216/98216*((9595*0+11/11*16535)+13000)*0))+(6/6)*(11/11*130966*0+12/12*133265)+(7/7)*(8/8*13693*9/9*15733*10/10*14399*11/11*22239*0+12/12*23829)+(10/10)*((8/8*9/9*10/10*11/11*2910697.64*0+12/12*3310375.84+310/310*4800))+10/10*6310/6310*3/3*(159.5*6/6*319*9/9*478.5*0+12/12*638)-J67-J72-(J73-(5/5)*((9595*0+16535)*0+13000)*0*12/12)-J75+(-J112-J113-6/6*(J114+(J122-140000)))-7314*11/11*(0*12/12)+132332</f>
        <v>8521580.870000005</v>
      </c>
      <c r="K65" s="29">
        <f t="shared" si="18"/>
        <v>0.8682732383029024</v>
      </c>
      <c r="L65" s="111" t="s">
        <v>135</v>
      </c>
      <c r="M65" s="99">
        <f>901/901*(736732.61-98216/98216*26705.44-81/81*129680)+902/902*483131+903/903*(30796411.11-6112/6112*1963522-6149/6149*44999-116/116*215200-216/216*(1226084+311092+112428+5149.55+573.54+38598))+904/904*(1820624.89-216/216*2719.25)+905/905*(48638.6-216/216*(16535+13000))+906/906*133265+907/907*23829+910/910*3310375.84+1/1*426801+3/3*(1357489-M67)+715/715*170666+1600/1600*4027.6+2010/2010*55000+3612/3612*40297+5011/5011*-5441+1190/1190*23520+310/310*4800+3112011/3112011*40000+2658/2658*300000+52222329/52222329*(350000*0+568100+5000+40100)+(10/10)*638</f>
        <v>34920230.87</v>
      </c>
      <c r="N65" s="99">
        <f aca="true" t="shared" si="22" ref="N65:N90">J65-M65</f>
        <v>-26398649.999999993</v>
      </c>
      <c r="O65" s="10"/>
      <c r="P65" s="9"/>
      <c r="Q65" s="9"/>
      <c r="R65" s="9"/>
      <c r="S65" s="9"/>
      <c r="T65" s="9"/>
      <c r="U65" s="9"/>
      <c r="V65" s="54">
        <f t="shared" si="21"/>
        <v>0</v>
      </c>
      <c r="W65" s="96" t="s">
        <v>16</v>
      </c>
      <c r="X65" s="15"/>
      <c r="Y65" s="29"/>
      <c r="Z65" s="112">
        <f>X72+X27+X24-2/2*3264000</f>
        <v>13389000</v>
      </c>
      <c r="AA65" s="23"/>
    </row>
    <row r="66" spans="1:27" s="102" customFormat="1" ht="18" customHeight="1">
      <c r="A66" s="48" t="s">
        <v>153</v>
      </c>
      <c r="B66" s="64"/>
      <c r="C66" s="72"/>
      <c r="D66" s="72"/>
      <c r="E66" s="73"/>
      <c r="F66" s="73"/>
      <c r="G66" s="72"/>
      <c r="H66" s="72"/>
      <c r="I66" s="3"/>
      <c r="J66" s="8">
        <f>-(J68+J69)-J70-J74-J76-J71</f>
        <v>4865528</v>
      </c>
      <c r="K66" s="29"/>
      <c r="L66" s="99"/>
      <c r="M66" s="99"/>
      <c r="N66" s="99">
        <f t="shared" si="22"/>
        <v>4865528</v>
      </c>
      <c r="O66" s="10"/>
      <c r="P66" s="9"/>
      <c r="Q66" s="9"/>
      <c r="R66" s="9"/>
      <c r="S66" s="9"/>
      <c r="T66" s="9"/>
      <c r="U66" s="9"/>
      <c r="V66" s="54"/>
      <c r="W66" s="96"/>
      <c r="X66" s="15"/>
      <c r="Y66" s="29"/>
      <c r="Z66" s="112"/>
      <c r="AA66" s="23"/>
    </row>
    <row r="67" spans="1:25" s="11" customFormat="1" ht="24.75" customHeight="1">
      <c r="A67" s="48" t="s">
        <v>114</v>
      </c>
      <c r="B67" s="64">
        <f>(9006+51)+(2351+6112/6112*401)+(847+6112/6112*195)</f>
        <v>12851</v>
      </c>
      <c r="C67" s="72"/>
      <c r="D67" s="72"/>
      <c r="E67" s="73"/>
      <c r="F67" s="73">
        <f>-3896+141-519-360</f>
        <v>-4634</v>
      </c>
      <c r="G67" s="72"/>
      <c r="H67" s="72">
        <f t="shared" si="20"/>
        <v>8217</v>
      </c>
      <c r="I67" s="3"/>
      <c r="J67" s="8">
        <f>(1647549*0+3/3*3231061*0+(4545966*6224699*7650422*9600154*10505687*12122956*0+10/10*13823499*0+11/11*14910466*0+12/12*17381635+116/116*215200+216/216*(262822*490393*602204*703740*0+9/9*802761*10/10*0+11/11*1014386*0+12/12*1226084))+(3/3)*(112195*220991*379385*500154*671418*787473*884361*998010*0+10/10*1098631*0+11/11*1196790*0+12/12*1357489)+5021/5021*(10726*14602*22978*31354*47230*66356*89387*112133*0+10/10*130177*0+11/11*150767*0+12/12*183948)+31/31*(470968*925077*1353675*1836945*2282128*2835025*3115052*3581127*0+10/10*4062089*0+11/11*4391073*0+12/12*5216883+98216/98216*(100000*127469*155420*180799*0+9/9*205271*10/10*0+11/11*258172*0+12/12*311092)))+32/32*(173398*340721*498808*840729*1043683*1148254*0+9/9*1319504*0+10/10*1496330*0+11/11*1618565*0+12/12*1753080+98216/98216*(36000*45906*55972*65116*0+9/9*74312*10/10*0+11/11*93368*0+12/12*112428))-J72-J73-J75</f>
        <v>8540805</v>
      </c>
      <c r="K67" s="29">
        <f t="shared" si="18"/>
        <v>1.0394067177802118</v>
      </c>
      <c r="L67" s="99"/>
      <c r="M67" s="99">
        <f>1357489</f>
        <v>1357489</v>
      </c>
      <c r="N67" s="99">
        <f t="shared" si="22"/>
        <v>7183316</v>
      </c>
      <c r="O67" s="10"/>
      <c r="P67" s="9"/>
      <c r="Q67" s="9"/>
      <c r="R67" s="9"/>
      <c r="S67" s="9"/>
      <c r="T67" s="9"/>
      <c r="U67" s="9"/>
      <c r="V67" s="54">
        <f t="shared" si="21"/>
        <v>0</v>
      </c>
      <c r="W67" s="96" t="s">
        <v>16</v>
      </c>
      <c r="X67" s="15"/>
      <c r="Y67" s="29"/>
    </row>
    <row r="68" spans="1:25" s="11" customFormat="1" ht="15" customHeight="1">
      <c r="A68" s="48" t="s">
        <v>154</v>
      </c>
      <c r="B68" s="64"/>
      <c r="C68" s="72"/>
      <c r="D68" s="72"/>
      <c r="E68" s="73"/>
      <c r="F68" s="73"/>
      <c r="G68" s="72"/>
      <c r="H68" s="72"/>
      <c r="I68" s="3"/>
      <c r="J68" s="8">
        <f>365950+19500+10800+4/4*1000+5/5*2000+6/6*4500+8/8*2000+9/9*-1725+10/10*6500+12/12*-410525</f>
        <v>0</v>
      </c>
      <c r="K68" s="29"/>
      <c r="L68" s="146" t="s">
        <v>132</v>
      </c>
      <c r="M68" s="113"/>
      <c r="N68" s="99">
        <f t="shared" si="22"/>
        <v>0</v>
      </c>
      <c r="O68" s="10"/>
      <c r="P68" s="9"/>
      <c r="Q68" s="9"/>
      <c r="R68" s="9"/>
      <c r="S68" s="9"/>
      <c r="T68" s="9"/>
      <c r="U68" s="9"/>
      <c r="V68" s="54"/>
      <c r="W68" s="96"/>
      <c r="X68" s="15"/>
      <c r="Y68" s="29"/>
    </row>
    <row r="69" spans="1:25" s="11" customFormat="1" ht="15" customHeight="1">
      <c r="A69" s="48" t="s">
        <v>155</v>
      </c>
      <c r="B69" s="64"/>
      <c r="C69" s="72"/>
      <c r="D69" s="72"/>
      <c r="E69" s="73"/>
      <c r="F69" s="73"/>
      <c r="G69" s="72"/>
      <c r="H69" s="72"/>
      <c r="I69" s="3"/>
      <c r="J69" s="8">
        <f>-(J114-33743*0-26089)</f>
        <v>-18910</v>
      </c>
      <c r="K69" s="29"/>
      <c r="L69" s="147"/>
      <c r="M69" s="114"/>
      <c r="N69" s="99">
        <f t="shared" si="22"/>
        <v>-18910</v>
      </c>
      <c r="O69" s="8"/>
      <c r="P69" s="9"/>
      <c r="Q69" s="9"/>
      <c r="R69" s="9"/>
      <c r="S69" s="9"/>
      <c r="T69" s="9"/>
      <c r="U69" s="9"/>
      <c r="V69" s="54"/>
      <c r="W69" s="96"/>
      <c r="X69" s="15"/>
      <c r="Y69" s="29"/>
    </row>
    <row r="70" spans="1:25" s="11" customFormat="1" ht="15" customHeight="1">
      <c r="A70" s="48" t="s">
        <v>156</v>
      </c>
      <c r="B70" s="64"/>
      <c r="C70" s="72"/>
      <c r="D70" s="72"/>
      <c r="E70" s="73"/>
      <c r="F70" s="73"/>
      <c r="G70" s="72"/>
      <c r="H70" s="72"/>
      <c r="I70" s="3"/>
      <c r="J70" s="8">
        <f>46166*(3+1+5/5+7/7+8/8)+107/107*12240+7/7*(6/6)*51285+9/9*48760+10/10*36215+11/11*41417+12/12*48376</f>
        <v>561455</v>
      </c>
      <c r="K70" s="29"/>
      <c r="L70" s="115">
        <f>564219</f>
        <v>564219</v>
      </c>
      <c r="M70" s="99"/>
      <c r="N70" s="99">
        <f t="shared" si="22"/>
        <v>561455</v>
      </c>
      <c r="O70" s="8"/>
      <c r="P70" s="9"/>
      <c r="Q70" s="9"/>
      <c r="R70" s="9"/>
      <c r="S70" s="9"/>
      <c r="T70" s="9"/>
      <c r="U70" s="9"/>
      <c r="V70" s="54"/>
      <c r="W70" s="96"/>
      <c r="X70" s="15"/>
      <c r="Y70" s="29"/>
    </row>
    <row r="71" spans="1:27" s="116" customFormat="1" ht="15" customHeight="1">
      <c r="A71" s="48" t="s">
        <v>157</v>
      </c>
      <c r="B71" s="64"/>
      <c r="C71" s="72"/>
      <c r="D71" s="72"/>
      <c r="E71" s="73"/>
      <c r="F71" s="73"/>
      <c r="G71" s="72"/>
      <c r="H71" s="72"/>
      <c r="I71" s="3"/>
      <c r="J71" s="8">
        <f>-123/123*(375473+505139)-456/456*(476400+420358)-789/789*((600126*0+407135)+(521788*0+453405)*11/11)-101112/101112*12/12*((413793)+(491566))</f>
        <v>-3543269</v>
      </c>
      <c r="K71" s="29"/>
      <c r="L71" s="115">
        <f>L70-J70</f>
        <v>2764</v>
      </c>
      <c r="M71" s="99"/>
      <c r="N71" s="99">
        <f t="shared" si="22"/>
        <v>-3543269</v>
      </c>
      <c r="O71" s="8"/>
      <c r="P71" s="9"/>
      <c r="Q71" s="9"/>
      <c r="R71" s="9"/>
      <c r="S71" s="9"/>
      <c r="T71" s="9"/>
      <c r="U71" s="9"/>
      <c r="V71" s="54"/>
      <c r="W71" s="96"/>
      <c r="X71" s="15"/>
      <c r="Y71" s="29"/>
      <c r="Z71" s="11"/>
      <c r="AA71" s="69">
        <f>16653-V72-V24-V27</f>
        <v>0</v>
      </c>
    </row>
    <row r="72" spans="1:27" ht="15" customHeight="1">
      <c r="A72" s="48" t="s">
        <v>30</v>
      </c>
      <c r="B72" s="64">
        <f>12595+3149+1134</f>
        <v>16878</v>
      </c>
      <c r="H72" s="72">
        <f t="shared" si="20"/>
        <v>16878</v>
      </c>
      <c r="J72" s="8">
        <f>1/1*(1141890+102815+285449)*0+1.2/1.2*((2355852*0+2236516*0+2230884)+(214077*0+201374*0+200868)+(594383*0+559079*0+557671))-J73-J75+187611*0+3/3*(1392285+128507+356904)+4/4*(1148430+103823+288267)+5/5*(1125183+98696+274012)+6/6*(1369424+123301+342434)+7/7*(1134153+102272+282871)+8/8*(1145759+103439+286137)+9/9*(1150210*0+1314468+(103184*0+117974*0+118362)+(286635*0+327696*0+328576))+10/10*(936020*0+1085135+84643*0+98071+236140*0+273413)+11/11*(1085518+97738+271355)+12/12*(1307488+117003+324587)</f>
        <v>16757168</v>
      </c>
      <c r="K72" s="29">
        <f t="shared" si="18"/>
        <v>0.9928408579215546</v>
      </c>
      <c r="L72" s="117">
        <f>12510717+1124484+3121967</f>
        <v>16757168</v>
      </c>
      <c r="N72" s="99">
        <f t="shared" si="22"/>
        <v>16757168</v>
      </c>
      <c r="O72" s="36" t="s">
        <v>42</v>
      </c>
      <c r="P72" s="9">
        <f>16653-4/4*(3111/3111*447+3113/3113*738)</f>
        <v>15468</v>
      </c>
      <c r="Q72" s="9"/>
      <c r="R72" s="9"/>
      <c r="S72" s="9"/>
      <c r="T72" s="9"/>
      <c r="U72" s="9"/>
      <c r="V72" s="68">
        <f t="shared" si="21"/>
        <v>15468</v>
      </c>
      <c r="W72" s="96" t="s">
        <v>16</v>
      </c>
      <c r="X72" s="15">
        <f>(2776000*0+3/3*4164000*0+4/4*5552000*0+5/5*6940000*0+6/6*8328000*0+7/7*9716000*0+8/8*11104000*0+9/9*12492000*0+10/10*13880000*0+11/11*15268000*0+12/12*16653000)/16653*15468-464.421*0+3/3*(303.369*0-696.631237615)*0+4/4*(71.15835-928.842*0)*0+5/5*-161.052*0+6/6*-393.26248*0+7/7*374.527112*0+8/8*142.3167*0+9/9*-89.8937128*0-322.104125*0+11/11*(445.69*0-554.31454)*0</f>
        <v>15468000</v>
      </c>
      <c r="Y72" s="29">
        <f>X72/(V72*1000)</f>
        <v>1</v>
      </c>
      <c r="Z72" s="11"/>
      <c r="AA72" s="15">
        <f>X72-V72*1000*12/12</f>
        <v>0</v>
      </c>
    </row>
    <row r="73" spans="1:27" ht="15" customHeight="1">
      <c r="A73" s="48" t="s">
        <v>31</v>
      </c>
      <c r="B73" s="64">
        <f>849+212+76</f>
        <v>1137</v>
      </c>
      <c r="E73" s="73">
        <f>518-1137</f>
        <v>-619</v>
      </c>
      <c r="F73" s="73">
        <f>-381-100-37</f>
        <v>-518</v>
      </c>
      <c r="H73" s="72">
        <f t="shared" si="20"/>
        <v>0</v>
      </c>
      <c r="J73" s="8">
        <f>1/1*(92719+8348+23180)*0+1.2/1.2*((191310*0+199916)+(18217*0+18000)+(50591*0+49976))+3/3*(102979+11026+30619)+4/4*(91546+8242+22886)+5/5*(95952+8638+23988)+6/6*(111811+10066+27951)+7/7*(101536+9144+25379)+8/8*(99021+9196+24472)+9/9*(111239+10016+27808)+10/10*(100386+9040+25093)+11/11*(100550+9052+25137)+12/12*(111148+10008+27783)</f>
        <v>1649604</v>
      </c>
      <c r="K73" s="29" t="e">
        <f t="shared" si="18"/>
        <v>#DIV/0!</v>
      </c>
      <c r="L73" s="117">
        <f>1226084+112428+311092</f>
        <v>1649604</v>
      </c>
      <c r="N73" s="99">
        <f t="shared" si="22"/>
        <v>1649604</v>
      </c>
      <c r="O73" s="10"/>
      <c r="P73" s="9"/>
      <c r="Q73" s="9"/>
      <c r="R73" s="9"/>
      <c r="S73" s="9"/>
      <c r="T73" s="9"/>
      <c r="U73" s="9"/>
      <c r="V73" s="54">
        <f t="shared" si="21"/>
        <v>0</v>
      </c>
      <c r="W73" s="96" t="s">
        <v>16</v>
      </c>
      <c r="Y73" s="29"/>
      <c r="Z73" s="11"/>
      <c r="AA73" s="15">
        <f>(2776000*0+3/3*4164000*0+4/4*5552000*0+5/5*6940000*0+6/6*8328000*0+9716000*0+8/8*11104000*0+9/9*12492000*0+10/10*13880000*0+11/11*15268000*0+12/12*16653000)-X24-X27-X72</f>
        <v>0</v>
      </c>
    </row>
    <row r="74" spans="1:27" ht="15" customHeight="1">
      <c r="A74" s="48" t="s">
        <v>101</v>
      </c>
      <c r="J74" s="8">
        <f>-(J112-(6/6*(5/5)*((9595*0+11/11*16535)+13000))*0-12/12*168214.78)</f>
        <v>-1649604</v>
      </c>
      <c r="N74" s="99">
        <f t="shared" si="22"/>
        <v>-1649604</v>
      </c>
      <c r="O74" s="10"/>
      <c r="P74" s="9"/>
      <c r="Q74" s="9"/>
      <c r="R74" s="9"/>
      <c r="S74" s="9"/>
      <c r="T74" s="9"/>
      <c r="U74" s="9"/>
      <c r="V74" s="54"/>
      <c r="W74" s="96"/>
      <c r="Y74" s="29"/>
      <c r="Z74" s="11"/>
      <c r="AA74" s="15"/>
    </row>
    <row r="75" spans="1:25" s="11" customFormat="1" ht="15" customHeight="1">
      <c r="A75" s="48" t="s">
        <v>158</v>
      </c>
      <c r="B75" s="64">
        <f>633+158+57</f>
        <v>848</v>
      </c>
      <c r="C75" s="72"/>
      <c r="D75" s="72"/>
      <c r="E75" s="73">
        <f>632.8-848</f>
        <v>-215.20000000000005</v>
      </c>
      <c r="F75" s="73">
        <f>-31.1-7.5-2.8</f>
        <v>-41.4</v>
      </c>
      <c r="G75" s="72"/>
      <c r="H75" s="72">
        <f t="shared" si="20"/>
        <v>591.4</v>
      </c>
      <c r="I75" s="3"/>
      <c r="J75" s="8">
        <f>1/1*(47286+4258+11820)*0+1.2/1.2*((94556*0+94471)+(9485*0+8506)+(26337*0+23616))+3/3*(52213+5672+15754)+4/4*(47391+4268+11845)+5/5*(48173+4338+12042)+6/6*(53698+4834+13424)+7/7*(48791+4394+12196)+8/8*(49456+4452+12364)+9/9*(53019+4774+13253)+10/10*(48729+4388+12180)+11/11*(49024+4414+12255)+12/12*(56961+5128+14239)</f>
        <v>810262</v>
      </c>
      <c r="K75" s="29">
        <f t="shared" si="18"/>
        <v>1.3700743997294555</v>
      </c>
      <c r="L75" s="117">
        <f>601926+55168+153168</f>
        <v>810262</v>
      </c>
      <c r="M75" s="99"/>
      <c r="N75" s="99">
        <f t="shared" si="22"/>
        <v>810262</v>
      </c>
      <c r="O75" s="10"/>
      <c r="P75" s="9"/>
      <c r="Q75" s="9"/>
      <c r="R75" s="9"/>
      <c r="S75" s="9"/>
      <c r="T75" s="9"/>
      <c r="U75" s="9"/>
      <c r="V75" s="54">
        <f t="shared" si="21"/>
        <v>0</v>
      </c>
      <c r="W75" s="96" t="s">
        <v>16</v>
      </c>
      <c r="X75" s="15"/>
      <c r="Y75" s="29"/>
    </row>
    <row r="76" spans="1:25" s="11" customFormat="1" ht="15" customHeight="1">
      <c r="A76" s="48" t="s">
        <v>100</v>
      </c>
      <c r="B76" s="64"/>
      <c r="C76" s="72"/>
      <c r="D76" s="72"/>
      <c r="E76" s="73"/>
      <c r="F76" s="73"/>
      <c r="G76" s="72"/>
      <c r="H76" s="72"/>
      <c r="I76" s="3"/>
      <c r="J76" s="8">
        <f>-J113</f>
        <v>-215200</v>
      </c>
      <c r="K76" s="29"/>
      <c r="L76" s="99"/>
      <c r="M76" s="99"/>
      <c r="N76" s="99">
        <f t="shared" si="22"/>
        <v>-215200</v>
      </c>
      <c r="O76" s="10"/>
      <c r="P76" s="9"/>
      <c r="Q76" s="9"/>
      <c r="R76" s="9"/>
      <c r="S76" s="9"/>
      <c r="T76" s="9"/>
      <c r="U76" s="9"/>
      <c r="V76" s="54"/>
      <c r="W76" s="96"/>
      <c r="X76" s="15"/>
      <c r="Y76" s="29"/>
    </row>
    <row r="77" spans="1:25" s="11" customFormat="1" ht="12" customHeight="1">
      <c r="A77" s="48" t="s">
        <v>34</v>
      </c>
      <c r="B77" s="64"/>
      <c r="C77" s="72"/>
      <c r="D77" s="72"/>
      <c r="E77" s="73"/>
      <c r="F77" s="73"/>
      <c r="G77" s="72"/>
      <c r="H77" s="72">
        <f t="shared" si="20"/>
        <v>0</v>
      </c>
      <c r="I77" s="3"/>
      <c r="J77" s="8"/>
      <c r="K77" s="29"/>
      <c r="L77" s="99"/>
      <c r="M77" s="99"/>
      <c r="N77" s="99">
        <f t="shared" si="22"/>
        <v>0</v>
      </c>
      <c r="O77" s="10"/>
      <c r="P77" s="9"/>
      <c r="Q77" s="9"/>
      <c r="R77" s="9"/>
      <c r="S77" s="9"/>
      <c r="T77" s="9"/>
      <c r="U77" s="9"/>
      <c r="V77" s="54">
        <f t="shared" si="21"/>
        <v>0</v>
      </c>
      <c r="W77" s="96" t="s">
        <v>16</v>
      </c>
      <c r="X77" s="15"/>
      <c r="Y77" s="29"/>
    </row>
    <row r="78" spans="1:25" s="11" customFormat="1" ht="12.75" customHeight="1" hidden="1">
      <c r="A78" s="48"/>
      <c r="B78" s="64"/>
      <c r="C78" s="72"/>
      <c r="D78" s="72"/>
      <c r="E78" s="73"/>
      <c r="F78" s="73"/>
      <c r="G78" s="72"/>
      <c r="H78" s="72">
        <f t="shared" si="20"/>
        <v>0</v>
      </c>
      <c r="I78" s="3"/>
      <c r="J78" s="8"/>
      <c r="K78" s="29"/>
      <c r="L78" s="99"/>
      <c r="M78" s="99"/>
      <c r="N78" s="99">
        <f t="shared" si="22"/>
        <v>0</v>
      </c>
      <c r="O78" s="4"/>
      <c r="P78" s="9"/>
      <c r="Q78" s="9"/>
      <c r="R78" s="9"/>
      <c r="S78" s="9"/>
      <c r="T78" s="9"/>
      <c r="U78" s="9"/>
      <c r="V78" s="54">
        <f t="shared" si="21"/>
        <v>0</v>
      </c>
      <c r="W78" s="96" t="s">
        <v>16</v>
      </c>
      <c r="X78" s="15"/>
      <c r="Y78" s="29"/>
    </row>
    <row r="79" spans="1:25" s="11" customFormat="1" ht="12.75" customHeight="1">
      <c r="A79" s="28" t="s">
        <v>45</v>
      </c>
      <c r="B79" s="64">
        <f>521</f>
        <v>521</v>
      </c>
      <c r="C79" s="72"/>
      <c r="D79" s="72"/>
      <c r="E79" s="73"/>
      <c r="F79" s="73">
        <f>130-52+44</f>
        <v>122</v>
      </c>
      <c r="G79" s="72"/>
      <c r="H79" s="72">
        <f t="shared" si="20"/>
        <v>643</v>
      </c>
      <c r="I79" s="3"/>
      <c r="J79" s="8">
        <f>(4/4)*(146401.05*0+3/3*204485.95*0+4/4*262247.95*0+5/5*304955.53*0+6/6*(375137.35*0+7/7*400111.35*0+8/8*423782.37*0+9/9*452441.48*0+10/10*500603.48*0+11/11*516879.59*0+12/12*713620.06+(10/10)*24701))+(3/3)*3/3*3879+(2/2)*12/12*904.8</f>
        <v>743104.8600000001</v>
      </c>
      <c r="K79" s="29">
        <f t="shared" si="18"/>
        <v>1.1556840746500778</v>
      </c>
      <c r="L79" s="99"/>
      <c r="M79" s="99">
        <f>743104.86</f>
        <v>743104.86</v>
      </c>
      <c r="N79" s="99">
        <f t="shared" si="22"/>
        <v>0</v>
      </c>
      <c r="O79" s="20" t="s">
        <v>44</v>
      </c>
      <c r="P79" s="9"/>
      <c r="Q79" s="9"/>
      <c r="R79" s="9"/>
      <c r="S79" s="9"/>
      <c r="T79" s="9"/>
      <c r="U79" s="9"/>
      <c r="V79" s="54">
        <f t="shared" si="21"/>
        <v>0</v>
      </c>
      <c r="W79" s="96" t="s">
        <v>16</v>
      </c>
      <c r="X79" s="15">
        <f>44250*0+3/3*64000*0+4/4*85250*0+5/5*104250*0+6/6*123250*0+7/7*141750*0+8/8*168750*0+9/9*186000*0+10/10*16250*0+11/11*219750*0+12/12*237250</f>
        <v>237250</v>
      </c>
      <c r="Y79" s="29"/>
    </row>
    <row r="80" spans="1:25" s="11" customFormat="1" ht="22.5">
      <c r="A80" s="28" t="s">
        <v>159</v>
      </c>
      <c r="B80" s="64">
        <f>523</f>
        <v>523</v>
      </c>
      <c r="C80" s="72"/>
      <c r="D80" s="72"/>
      <c r="E80" s="73"/>
      <c r="F80" s="73"/>
      <c r="G80" s="72"/>
      <c r="H80" s="72">
        <f t="shared" si="20"/>
        <v>523</v>
      </c>
      <c r="I80" s="3"/>
      <c r="J80" s="8">
        <f>(4/4)*(89137.76*0+3/3*115376.11*0+169301.69*0+5/5*197861.19*0+6/6*243688.64*0+7/7*289030.64*0+8/8*450278.83*0+9/9*453351.7*0+10/10*506774.9*0+11/11*510547.77*0+12/12*552378.12)+(2/2)*2323/2323*(970*0+8/8*2295*0+9/9*9664*0+11/11*11534*0+12/12*11704)</f>
        <v>564082.12</v>
      </c>
      <c r="K80" s="29">
        <f t="shared" si="18"/>
        <v>1.078550898661568</v>
      </c>
      <c r="L80" s="113" t="s">
        <v>134</v>
      </c>
      <c r="M80" s="99">
        <f>552378.12+2323/2323*13404</f>
        <v>565782.12</v>
      </c>
      <c r="N80" s="99">
        <f t="shared" si="22"/>
        <v>-1700</v>
      </c>
      <c r="O80" s="8"/>
      <c r="P80" s="9"/>
      <c r="Q80" s="9"/>
      <c r="R80" s="9"/>
      <c r="S80" s="9"/>
      <c r="T80" s="9"/>
      <c r="U80" s="9"/>
      <c r="V80" s="54">
        <f t="shared" si="21"/>
        <v>0</v>
      </c>
      <c r="W80" s="96" t="s">
        <v>16</v>
      </c>
      <c r="X80" s="15"/>
      <c r="Y80" s="29"/>
    </row>
    <row r="81" spans="1:25" s="11" customFormat="1" ht="12" customHeight="1">
      <c r="A81" s="28" t="s">
        <v>26</v>
      </c>
      <c r="B81" s="64">
        <f>262</f>
        <v>262</v>
      </c>
      <c r="C81" s="72"/>
      <c r="D81" s="72"/>
      <c r="E81" s="73"/>
      <c r="F81" s="73">
        <f>-75-33+33</f>
        <v>-75</v>
      </c>
      <c r="G81" s="72"/>
      <c r="H81" s="72">
        <f t="shared" si="20"/>
        <v>187</v>
      </c>
      <c r="I81" s="3"/>
      <c r="J81" s="8">
        <f>(4/4)*(84727.7*0+3/3*93471.47*0+4/4*130161.47*0+5/5*141632.6*0+6/6*151036.39*0+7/7*200649.39*0+8/8*206529.93*0+9/9*210710.2*0+10/10*208954.2*0+11/11*211894.47*0+12/12*(231602.62-(583+1506+18963+35843+7082+957)))</f>
        <v>166668.62</v>
      </c>
      <c r="K81" s="29">
        <f t="shared" si="18"/>
        <v>0.8912760427807487</v>
      </c>
      <c r="L81" s="99"/>
      <c r="M81" s="99">
        <f>231602.62-98216/98216*(583+1506+18963+35843+7082+957)</f>
        <v>166668.62</v>
      </c>
      <c r="N81" s="99">
        <f t="shared" si="22"/>
        <v>0</v>
      </c>
      <c r="O81" s="8"/>
      <c r="P81" s="9"/>
      <c r="Q81" s="9"/>
      <c r="R81" s="9"/>
      <c r="S81" s="9"/>
      <c r="T81" s="9"/>
      <c r="U81" s="9"/>
      <c r="V81" s="54">
        <f t="shared" si="21"/>
        <v>0</v>
      </c>
      <c r="W81" s="96" t="s">
        <v>16</v>
      </c>
      <c r="X81" s="15"/>
      <c r="Y81" s="29"/>
    </row>
    <row r="82" spans="1:25" s="11" customFormat="1" ht="15" customHeight="1">
      <c r="A82" s="28" t="s">
        <v>32</v>
      </c>
      <c r="B82" s="64"/>
      <c r="C82" s="72"/>
      <c r="D82" s="72">
        <f>6/6*250</f>
        <v>250</v>
      </c>
      <c r="E82" s="73"/>
      <c r="F82" s="73"/>
      <c r="G82" s="72"/>
      <c r="H82" s="72">
        <f t="shared" si="20"/>
        <v>250</v>
      </c>
      <c r="I82" s="3"/>
      <c r="J82" s="8">
        <f>(10/10)*(35280*0+3/3*52920*0+4/4*70560*0+5/5*88200*0+6/6*105840*0+7/7*123480*0+8/8*141120*0+9/9*159535*0+10/10*177175*0+11/11*194815*0+12/12*212455)</f>
        <v>212455</v>
      </c>
      <c r="K82" s="29">
        <f t="shared" si="18"/>
        <v>0.84982</v>
      </c>
      <c r="L82" s="99"/>
      <c r="M82" s="99">
        <v>212455</v>
      </c>
      <c r="N82" s="99">
        <f t="shared" si="22"/>
        <v>0</v>
      </c>
      <c r="O82" s="38" t="s">
        <v>48</v>
      </c>
      <c r="P82" s="9">
        <f>300</f>
        <v>300</v>
      </c>
      <c r="Q82" s="9"/>
      <c r="R82" s="9"/>
      <c r="S82" s="9">
        <v>100</v>
      </c>
      <c r="T82" s="9">
        <v>305</v>
      </c>
      <c r="U82" s="9"/>
      <c r="V82" s="54">
        <f t="shared" si="21"/>
        <v>705</v>
      </c>
      <c r="W82" s="96" t="s">
        <v>16</v>
      </c>
      <c r="X82" s="15">
        <f>117300*0+193500*0+4/4*223800*0+5/5*250100*0+6/6*313073.7*0+7/7*386453.7*0+8/8*417753.7*0+9/9*483853.7*0+10/10*596653.7*0+11/11*710753.7*0+12/12*752553.7</f>
        <v>752553.7</v>
      </c>
      <c r="Y82" s="29">
        <f>X82/(V82*1000)</f>
        <v>1.0674520567375887</v>
      </c>
    </row>
    <row r="83" spans="1:25" s="11" customFormat="1" ht="15" customHeight="1">
      <c r="A83" s="48" t="s">
        <v>160</v>
      </c>
      <c r="B83" s="64">
        <f>4500</f>
        <v>4500</v>
      </c>
      <c r="C83" s="72"/>
      <c r="D83" s="72">
        <f>6/6*(700+1112/1112*-1500)</f>
        <v>-800</v>
      </c>
      <c r="E83" s="73"/>
      <c r="F83" s="73">
        <f>-847-700+794-150-1943</f>
        <v>-2846</v>
      </c>
      <c r="G83" s="72"/>
      <c r="H83" s="72">
        <f t="shared" si="20"/>
        <v>854</v>
      </c>
      <c r="I83" s="3"/>
      <c r="J83" s="8">
        <f>4522/4522*771542*0+12/12*(793475+5139/5139*1380)</f>
        <v>794855</v>
      </c>
      <c r="K83" s="29">
        <f t="shared" si="18"/>
        <v>0.9307435597189696</v>
      </c>
      <c r="L83" s="99"/>
      <c r="M83" s="99">
        <f>4522/4522*794855</f>
        <v>794855</v>
      </c>
      <c r="N83" s="99">
        <f t="shared" si="22"/>
        <v>0</v>
      </c>
      <c r="O83" s="21" t="s">
        <v>46</v>
      </c>
      <c r="P83" s="9"/>
      <c r="Q83" s="9"/>
      <c r="R83" s="9"/>
      <c r="S83" s="9"/>
      <c r="T83" s="9"/>
      <c r="U83" s="9"/>
      <c r="V83" s="54">
        <f t="shared" si="21"/>
        <v>0</v>
      </c>
      <c r="W83" s="96" t="s">
        <v>16</v>
      </c>
      <c r="X83" s="15"/>
      <c r="Y83" s="29"/>
    </row>
    <row r="84" spans="1:25" s="11" customFormat="1" ht="24">
      <c r="A84" s="48" t="s">
        <v>161</v>
      </c>
      <c r="B84" s="64"/>
      <c r="C84" s="72"/>
      <c r="D84" s="72"/>
      <c r="E84" s="73">
        <f>106/106*(11+73+1-14)+406/406*(93-19)</f>
        <v>145</v>
      </c>
      <c r="F84" s="73">
        <f>6+4+(6+35-20)+(9+2)+(2+3)+10+4</f>
        <v>61</v>
      </c>
      <c r="G84" s="72"/>
      <c r="H84" s="72">
        <f t="shared" si="20"/>
        <v>206</v>
      </c>
      <c r="I84" s="3"/>
      <c r="J84" s="8">
        <f>(10/10)*((241210/241210*15576*0+12022011/12022011*(10000+8/8*570))+4/4*(91010/91010+180910/180910)*3891+5/5*(106/106*(16006*0+6/6*(90486*0+9/9*91898*0+10/10*97398+40611/40611*(93900*0+8/8*94435*0+9/9*95575)))+1806/1806*(1174*0+6/6*(1892*0+7/7*4892*0+9/9*5347+16522011/16522011*30000))+9/9*1709/1709*10540)+(1/1)*705/705*1140+8/8*2011/2011*(10/10)*405+10/10*(151011/151011*(35910*0+11/11*(6112/6112*50510)+6171/6171*(11011/11011*7714+1510/1510*(468+11/11*25000)))))</f>
        <v>342449</v>
      </c>
      <c r="K84" s="29">
        <f t="shared" si="18"/>
        <v>1.662373786407767</v>
      </c>
      <c r="L84" s="99">
        <f>6112/6112*(97+94+4+51+11+5+4+12+10)</f>
        <v>288</v>
      </c>
      <c r="M84" s="99">
        <f>2011/2011*405+106/106*97398+11011/11011*7714+406/406*95575+70511/70511*1140+1510/1510*(468+75510)+1709/1709*10540+1806/1806*(23449-18102)+(9010/9010+1809/1809)*3891+1652/1652*30000+1202/1202*(570+10000)</f>
        <v>342449</v>
      </c>
      <c r="N84" s="99">
        <f t="shared" si="22"/>
        <v>0</v>
      </c>
      <c r="O84" s="21" t="s">
        <v>47</v>
      </c>
      <c r="P84" s="9"/>
      <c r="Q84" s="9"/>
      <c r="R84" s="9">
        <f>6/6*802</f>
        <v>802</v>
      </c>
      <c r="S84" s="9">
        <v>13</v>
      </c>
      <c r="T84" s="9">
        <v>600</v>
      </c>
      <c r="U84" s="9"/>
      <c r="V84" s="54">
        <f t="shared" si="21"/>
        <v>1415</v>
      </c>
      <c r="W84" s="96" t="s">
        <v>16</v>
      </c>
      <c r="X84" s="15">
        <f>1/1*575000*0+5/5*695000+6/6*10000+7/7*10000+8/8*100000+9/9*550000+10/10*50000+12/12*1055000</f>
        <v>2470000</v>
      </c>
      <c r="Y84" s="29"/>
    </row>
    <row r="85" spans="1:25" s="11" customFormat="1" ht="15" customHeight="1">
      <c r="A85" s="48" t="s">
        <v>24</v>
      </c>
      <c r="B85" s="64">
        <f>56</f>
        <v>56</v>
      </c>
      <c r="C85" s="72"/>
      <c r="D85" s="72"/>
      <c r="E85" s="73"/>
      <c r="F85" s="73">
        <v>-22</v>
      </c>
      <c r="G85" s="72"/>
      <c r="H85" s="72">
        <f t="shared" si="20"/>
        <v>34</v>
      </c>
      <c r="I85" s="3"/>
      <c r="J85" s="8">
        <f>(4/4)*(10060*0+4/4*20120*0+8/8*25428*0+10/10*34438)</f>
        <v>34438</v>
      </c>
      <c r="K85" s="29">
        <f t="shared" si="18"/>
        <v>1.0128823529411766</v>
      </c>
      <c r="L85" s="99"/>
      <c r="M85" s="99">
        <v>34438</v>
      </c>
      <c r="N85" s="99">
        <f t="shared" si="22"/>
        <v>0</v>
      </c>
      <c r="O85" s="21" t="s">
        <v>105</v>
      </c>
      <c r="P85" s="9"/>
      <c r="Q85" s="9"/>
      <c r="R85" s="9">
        <f>6/6*70</f>
        <v>70</v>
      </c>
      <c r="S85" s="9"/>
      <c r="T85" s="9"/>
      <c r="U85" s="9"/>
      <c r="V85" s="54">
        <f t="shared" si="21"/>
        <v>70</v>
      </c>
      <c r="W85" s="96" t="s">
        <v>16</v>
      </c>
      <c r="X85" s="15">
        <f>67671+10/10*12400</f>
        <v>80071</v>
      </c>
      <c r="Y85" s="29"/>
    </row>
    <row r="86" spans="1:25" s="11" customFormat="1" ht="12" customHeight="1">
      <c r="A86" s="48" t="s">
        <v>25</v>
      </c>
      <c r="B86" s="64">
        <f>620</f>
        <v>620</v>
      </c>
      <c r="C86" s="72"/>
      <c r="D86" s="72"/>
      <c r="E86" s="73"/>
      <c r="F86" s="73"/>
      <c r="G86" s="72"/>
      <c r="H86" s="68">
        <f t="shared" si="20"/>
        <v>620</v>
      </c>
      <c r="I86" s="3"/>
      <c r="J86" s="8">
        <f>(1/1)*104855.62*0+3/3*159998.6*0+4/4*210119.31*0+5/5*273645.01*0+6/6*320399.22*0+8/8*365685.99*0+9/9*418945.62*0+10/10*468030.48*0+11/11*523716.75*0+12/12*575111.01</f>
        <v>575111.01</v>
      </c>
      <c r="K86" s="29">
        <f t="shared" si="18"/>
        <v>0.9275984032258064</v>
      </c>
      <c r="L86" s="99"/>
      <c r="M86" s="99">
        <v>575111.01</v>
      </c>
      <c r="N86" s="99">
        <f t="shared" si="22"/>
        <v>0</v>
      </c>
      <c r="O86" s="8"/>
      <c r="P86" s="9"/>
      <c r="Q86" s="9"/>
      <c r="R86" s="9"/>
      <c r="S86" s="9"/>
      <c r="T86" s="9"/>
      <c r="U86" s="9"/>
      <c r="V86" s="54">
        <f t="shared" si="21"/>
        <v>0</v>
      </c>
      <c r="W86" s="96" t="s">
        <v>16</v>
      </c>
      <c r="X86" s="15"/>
      <c r="Y86" s="29"/>
    </row>
    <row r="87" spans="1:25" s="11" customFormat="1" ht="12.75">
      <c r="A87" s="48" t="s">
        <v>85</v>
      </c>
      <c r="B87" s="64">
        <f>65</f>
        <v>65</v>
      </c>
      <c r="C87" s="72"/>
      <c r="D87" s="72"/>
      <c r="E87" s="73"/>
      <c r="F87" s="73">
        <f>18+95-2010/2010*15</f>
        <v>98</v>
      </c>
      <c r="G87" s="72"/>
      <c r="H87" s="72">
        <f t="shared" si="20"/>
        <v>163</v>
      </c>
      <c r="I87" s="3"/>
      <c r="J87" s="8">
        <f>(4/4)*35094+(10/10)*6112/6112*18000+6171/6171*1079</f>
        <v>54173</v>
      </c>
      <c r="K87" s="29">
        <f>J87/(H87*1000)</f>
        <v>0.33234969325153374</v>
      </c>
      <c r="L87" s="99">
        <f>113</f>
        <v>113</v>
      </c>
      <c r="M87" s="99">
        <f>88243+5/5*(-8000-15300)+6/6*-10770</f>
        <v>54173</v>
      </c>
      <c r="N87" s="99">
        <f t="shared" si="22"/>
        <v>0</v>
      </c>
      <c r="O87" s="8" t="s">
        <v>118</v>
      </c>
      <c r="P87" s="9"/>
      <c r="Q87" s="9"/>
      <c r="R87" s="9"/>
      <c r="S87" s="9"/>
      <c r="T87" s="9"/>
      <c r="U87" s="9"/>
      <c r="V87" s="54">
        <f t="shared" si="21"/>
        <v>0</v>
      </c>
      <c r="W87" s="96" t="s">
        <v>16</v>
      </c>
      <c r="X87" s="15">
        <f>45521*0*10/10</f>
        <v>0</v>
      </c>
      <c r="Y87" s="29"/>
    </row>
    <row r="88" spans="1:25" s="11" customFormat="1" ht="12.75">
      <c r="A88" s="48" t="s">
        <v>78</v>
      </c>
      <c r="B88" s="64"/>
      <c r="C88" s="72"/>
      <c r="D88" s="72"/>
      <c r="E88" s="73"/>
      <c r="F88" s="73">
        <v>15</v>
      </c>
      <c r="G88" s="72"/>
      <c r="H88" s="72">
        <f t="shared" si="20"/>
        <v>15</v>
      </c>
      <c r="I88" s="3"/>
      <c r="J88" s="8">
        <f>(10/10)*241210/241210*15576</f>
        <v>15576</v>
      </c>
      <c r="K88" s="29">
        <f>J88/(H88*1000)</f>
        <v>1.0384</v>
      </c>
      <c r="L88" s="99">
        <f>15</f>
        <v>15</v>
      </c>
      <c r="M88" s="99">
        <v>15576</v>
      </c>
      <c r="N88" s="99">
        <f t="shared" si="22"/>
        <v>0</v>
      </c>
      <c r="O88" s="8"/>
      <c r="P88" s="9"/>
      <c r="Q88" s="9"/>
      <c r="R88" s="9"/>
      <c r="S88" s="9"/>
      <c r="T88" s="9"/>
      <c r="U88" s="9"/>
      <c r="V88" s="54">
        <f t="shared" si="21"/>
        <v>0</v>
      </c>
      <c r="W88" s="96" t="s">
        <v>16</v>
      </c>
      <c r="X88" s="15"/>
      <c r="Y88" s="29"/>
    </row>
    <row r="89" spans="1:25" s="11" customFormat="1" ht="34.5">
      <c r="A89" s="48" t="s">
        <v>162</v>
      </c>
      <c r="B89" s="64">
        <f>153/153*10+(4/4)*403</f>
        <v>413</v>
      </c>
      <c r="C89" s="72"/>
      <c r="D89" s="72"/>
      <c r="E89" s="73"/>
      <c r="F89" s="73">
        <f>350+1379/1379*61+7038/7038*(22+75)</f>
        <v>508</v>
      </c>
      <c r="G89" s="72"/>
      <c r="H89" s="72">
        <f t="shared" si="20"/>
        <v>921</v>
      </c>
      <c r="I89" s="3"/>
      <c r="J89" s="108">
        <f>(4/4)*((4/4*392+10/10*6099.94)+153/153*(1657*0+3/3*2397*0+6/6*3137*0+9/9*3877*0+12/12*4617+9021/9021*8/8*2476.8*0+9/9*3513.6*0+10/10*1440*0+11/11*5990.4*0+12/12*7027.2)+1379/1379*(400*0+4/4*194.96*0+6/6*71964.12*0+12/12*73486.12)+2098/2098*(3/3*50*0+6/6*100*0+9/9*150*0+12/12*200)+2105/2105*(-200*0+3/3*-150*0+6/6*-100*0+9/9*-50*0))+143719/143719*(3/3*-100*0+4/4*-50*(0*7/7)+10/10*50)+4/4*411300/411300*(7219/7219*1000+5/5*18593/18593*1000)+5/5*7038222222/7038222222*((10000+(6/6+7/7+8/8+9/9+10/10*1.5+11/11)*10000)+6/6*(350*0+8/8*5870*0+9/9*11390*0+10/10*16910*0+11/11*22430)+9/9*(3/3)*350000)+10/10*(1600/1600*2583.6*0+12/12*4027.6)*0+12/12*(1111/1111*15000)</f>
        <v>556302.26</v>
      </c>
      <c r="K89" s="29">
        <f>J89/(H89*1000)</f>
        <v>0.6040198262757872</v>
      </c>
      <c r="L89" s="99">
        <f>75</f>
        <v>75</v>
      </c>
      <c r="M89" s="99">
        <f>4/4*6491.94+153/153*4617+1111/1111*15000+1379/1379*73486.12+2098/2098*200+9021/9021*7027.2+1437/1437*50+1321/1321*350000+4113/4113*1000*2+7038/7038*97430</f>
        <v>556302.26</v>
      </c>
      <c r="N89" s="99">
        <f t="shared" si="22"/>
        <v>0</v>
      </c>
      <c r="O89" s="21" t="s">
        <v>49</v>
      </c>
      <c r="P89" s="9">
        <v>160</v>
      </c>
      <c r="Q89" s="9"/>
      <c r="R89" s="9"/>
      <c r="S89" s="9"/>
      <c r="T89" s="9">
        <v>95</v>
      </c>
      <c r="U89" s="9"/>
      <c r="V89" s="54">
        <f t="shared" si="21"/>
        <v>255</v>
      </c>
      <c r="W89" s="96" t="s">
        <v>16</v>
      </c>
      <c r="X89" s="15">
        <f>29300*0+5/5*104798*0+6/6*105102*0+8/8*189302*0+10/10*254452</f>
        <v>254452</v>
      </c>
      <c r="Y89" s="29">
        <f>X89/(V89*1000)</f>
        <v>0.9978509803921569</v>
      </c>
    </row>
    <row r="90" spans="1:27" ht="15" customHeight="1">
      <c r="A90" s="48" t="s">
        <v>33</v>
      </c>
      <c r="B90" s="64">
        <f>(3/3)*3</f>
        <v>3</v>
      </c>
      <c r="H90" s="72">
        <f t="shared" si="20"/>
        <v>3</v>
      </c>
      <c r="J90" s="8">
        <f>5/5*4250+12/12*7900</f>
        <v>12150</v>
      </c>
      <c r="K90" s="29">
        <f>J90/(H90*1000)</f>
        <v>4.05</v>
      </c>
      <c r="M90" s="99">
        <f>4250+7900</f>
        <v>12150</v>
      </c>
      <c r="N90" s="99">
        <f t="shared" si="22"/>
        <v>0</v>
      </c>
      <c r="O90" s="21" t="s">
        <v>87</v>
      </c>
      <c r="P90" s="9"/>
      <c r="Q90" s="9"/>
      <c r="R90" s="9">
        <f>6/6*200</f>
        <v>200</v>
      </c>
      <c r="S90" s="9"/>
      <c r="T90" s="9"/>
      <c r="U90" s="9"/>
      <c r="V90" s="54">
        <f t="shared" si="21"/>
        <v>200</v>
      </c>
      <c r="W90" s="96" t="s">
        <v>16</v>
      </c>
      <c r="X90" s="15">
        <f>918*0+3/3*92151*0+4/4*(98310+10/10*-96815*0)*0+5/5*196486.63+6/6*200+7/7*100+8/8*400+9/9*139507.44+10/10*3067+11/11*200+12/12*4897</f>
        <v>344858.07</v>
      </c>
      <c r="Y90" s="29"/>
      <c r="Z90" s="11"/>
      <c r="AA90" s="61">
        <f>AA91+9/9*3327.1*0+12/12*0</f>
        <v>0</v>
      </c>
    </row>
    <row r="91" spans="1:27" ht="15" customHeight="1">
      <c r="A91" s="80" t="s">
        <v>63</v>
      </c>
      <c r="B91" s="66">
        <f>SUM(B64:B90)</f>
        <v>57177</v>
      </c>
      <c r="C91" s="5">
        <f>SUM(C64:C90)</f>
        <v>0</v>
      </c>
      <c r="D91" s="5">
        <f>SUM(D64:D90)</f>
        <v>-6345</v>
      </c>
      <c r="E91" s="17">
        <f>SUM(E64:E90)</f>
        <v>-689.2</v>
      </c>
      <c r="F91" s="17">
        <f>SUM(F64:F90)</f>
        <v>-7923</v>
      </c>
      <c r="G91" s="5"/>
      <c r="H91" s="5">
        <f>SUM(H64:H90)</f>
        <v>42219.8</v>
      </c>
      <c r="I91" s="100"/>
      <c r="J91" s="52">
        <f>SUM(J64:J90)</f>
        <v>42693299.94</v>
      </c>
      <c r="K91" s="30">
        <f>J91/(H91*1000)</f>
        <v>1.011215115656635</v>
      </c>
      <c r="L91" s="99">
        <f>SUM(L64:L90)</f>
        <v>19786923</v>
      </c>
      <c r="M91" s="52">
        <f>SUM(M64:M90)</f>
        <v>42693299.93999999</v>
      </c>
      <c r="N91" s="52">
        <f>SUM(N64:N90)</f>
        <v>7.450580596923828E-09</v>
      </c>
      <c r="O91" s="78">
        <f>(H91+(H112/2+H113)+H126+4/4*H114+5/5*(H112/2+H122)-57177*0-3/3*57791*0-4/4*58011*0-5/5*58574*0-11/11*52336*0-12/12*44413)+(J91+J126+(J122-140000)+(J112+J113+J114)-(1/1*(283668.98*0+3/3*366023.85*0+4/4*465944.19*0+5/5*591780.81*0+11/11*1241344.49*0+12/12*1384685.62)+2/2*(55464*0+3/3*133362*0+4/4*185451*0+5/5*188605*0+11/11*439045*0+12/12*497439.8)+3/3*(3108802.84*0+3/3*5739031.77*0+4/4*9025304.87*0+5/5*11783426.63*0+11/11*29022234.35*0+12/12*33667853.11)+4/4*(734776.19*0+3/3*1117769.94*0+4/4*1391024.34*0+5/5*1619148.42*0+11/11*4255128.32*0+12/12*4794741.55)+5/5*(-82333.4*0+3/3*-120127.1*0+4/4*-145096.8*0+5/5*-189762.5*0+11/11*-454569.7*0+12/12*48638.6)+6/6*(29442*0+3/3*37384*0+4/4*57816*0+5/5*69188*0+11/11*130966*0+12/12*133265)+7/7*(3770*0+3/3*4236*0+4/4*5745*0+5/5*7238*0+11/11*22239*0+12/12*23829)+10/10*(821780.64*0+3/3*1101117.04*0+4/4*1349545.04*0+5/5*1660302.44*0+11/11*3883963.84*0+12/12*4374107.04))-10/10*(159.5*0+9/9*478.5*0+12/12*638))</f>
        <v>0</v>
      </c>
      <c r="P91" s="5">
        <f aca="true" t="shared" si="23" ref="P91:V91">SUM(P64:P90)</f>
        <v>16028</v>
      </c>
      <c r="Q91" s="5">
        <f t="shared" si="23"/>
        <v>0</v>
      </c>
      <c r="R91" s="5">
        <f t="shared" si="23"/>
        <v>1072</v>
      </c>
      <c r="S91" s="5">
        <f t="shared" si="23"/>
        <v>113</v>
      </c>
      <c r="T91" s="5">
        <f t="shared" si="23"/>
        <v>1000</v>
      </c>
      <c r="U91" s="5">
        <f t="shared" si="23"/>
        <v>0</v>
      </c>
      <c r="V91" s="5">
        <f t="shared" si="23"/>
        <v>18213</v>
      </c>
      <c r="W91" s="101"/>
      <c r="X91" s="51">
        <f>SUM(X64:X90)</f>
        <v>19692479.35</v>
      </c>
      <c r="Y91" s="30">
        <f>X91/(V91*1000)</f>
        <v>1.0812320512820515</v>
      </c>
      <c r="Z91" s="112">
        <f>2/2*278894.1+2*1540000-X91</f>
        <v>-16333585.250000002</v>
      </c>
      <c r="AA91" s="61">
        <f>((V91+V112+V113+V126+V114+V122)*0-(2141/2141*(10/10)*100+160+300+4112/4112*15468+3/3*(398.8+215.2)+4/4*(45+175)+5/5*(164.2+398.8)+6/6*(0+16/16*1072)+11/11*0+12/12*-18497))+(X91+3/3*(X112+X113+X126+X114+X122)-4112/4112*X72-2329/2329*(X90-918)*0-(836635.12*0+3/3*1646949.94*0+4/4*1924657.94*0+5/5*2826654.57*0+6/6*2933723.01*0+7/7*3433833.01*0+9/9*4529896.49*0+10/10*5142172.49*0+11/11*5273972.49*0+12/12*6417625.89+(10/10)*(38.72*0+6/6*77.77*0+9/9*117.16*0+12/12*156.46)))*0</f>
        <v>0</v>
      </c>
    </row>
    <row r="92" spans="1:25" s="11" customFormat="1" ht="12.75">
      <c r="A92" s="85"/>
      <c r="B92" s="64"/>
      <c r="C92" s="72"/>
      <c r="D92" s="72"/>
      <c r="E92" s="73"/>
      <c r="F92" s="73"/>
      <c r="G92" s="72"/>
      <c r="H92" s="72"/>
      <c r="I92" s="3"/>
      <c r="J92" s="8"/>
      <c r="K92" s="29"/>
      <c r="L92" s="99">
        <f>44413*0-(H91+H112+H113+H122+H126)</f>
        <v>-44368</v>
      </c>
      <c r="M92" s="99"/>
      <c r="N92" s="99"/>
      <c r="O92" s="21" t="s">
        <v>50</v>
      </c>
      <c r="P92" s="9">
        <f>270+35+532+13+250+700+600</f>
        <v>2400</v>
      </c>
      <c r="Q92" s="9"/>
      <c r="R92" s="9"/>
      <c r="S92" s="9">
        <f>1344/1344*20</f>
        <v>20</v>
      </c>
      <c r="T92" s="9"/>
      <c r="U92" s="9"/>
      <c r="V92" s="54">
        <f aca="true" t="shared" si="24" ref="V92:V101">SUM(P92:U92)</f>
        <v>2420</v>
      </c>
      <c r="W92" s="96" t="s">
        <v>16</v>
      </c>
      <c r="X92" s="15">
        <f>1/1*(47517*129205*134229.75*216714.75*238564.75*214441.5*227217.5*9/9*244317.5*252366.5*0+257003.5*0+257834)+2/2*(540*645*1492.5*11962.5*25237.5*16215*16440*9/9*17790*18375*0+19425*0+17625)+3/3*(92955*128910*177370*277502*347925*373880*661575*1262649*1327365*0+1361810*0+1409407)+4/4*(4810*5/5*24310*32635*0+9/9*34811)+5/5*(28816*39444*62444*75252*83828*120420*129008*9/9*142832*177724*0+188476*0+204620)+7/7*(140000*260000*425000*435000*515000*9/9*595000*0+706445*0+761445)+51/51*(3/3*183184*0+5/5*187802*0+7/7*492089)</f>
        <v>3177831</v>
      </c>
      <c r="Y92" s="29">
        <f aca="true" t="shared" si="25" ref="Y92:Y98">X92/(V92*1000)</f>
        <v>1.313153305785124</v>
      </c>
    </row>
    <row r="93" spans="1:25" s="11" customFormat="1" ht="12.75">
      <c r="A93" s="85"/>
      <c r="B93" s="64"/>
      <c r="C93" s="72"/>
      <c r="D93" s="72"/>
      <c r="E93" s="73"/>
      <c r="F93" s="73"/>
      <c r="G93" s="72"/>
      <c r="H93" s="72"/>
      <c r="I93" s="3"/>
      <c r="J93" s="8"/>
      <c r="K93" s="29"/>
      <c r="L93" s="99">
        <f>44413+L92</f>
        <v>45</v>
      </c>
      <c r="M93" s="99"/>
      <c r="N93" s="99"/>
      <c r="O93" s="21" t="s">
        <v>51</v>
      </c>
      <c r="P93" s="9">
        <v>2800</v>
      </c>
      <c r="Q93" s="9"/>
      <c r="R93" s="9"/>
      <c r="S93" s="9"/>
      <c r="T93" s="9"/>
      <c r="U93" s="9"/>
      <c r="V93" s="68">
        <f t="shared" si="24"/>
        <v>2800</v>
      </c>
      <c r="W93" s="96" t="s">
        <v>16</v>
      </c>
      <c r="X93" s="15">
        <f>11301*0+3/3*174231*0+4/4*311961*0+5/5*529186*0+6/6*1255921*0+7/7*1194276*0+8/8*1461456*0+9/9*1591236*0+10/10*1727691*0+11/11*1861916*0+12/12*2245306</f>
        <v>2245306</v>
      </c>
      <c r="Y93" s="29">
        <f t="shared" si="25"/>
        <v>0.801895</v>
      </c>
    </row>
    <row r="94" spans="1:25" s="11" customFormat="1" ht="12.75">
      <c r="A94" s="85"/>
      <c r="B94" s="64"/>
      <c r="C94" s="72"/>
      <c r="D94" s="72"/>
      <c r="E94" s="73"/>
      <c r="F94" s="73"/>
      <c r="G94" s="72"/>
      <c r="H94" s="72"/>
      <c r="I94" s="3"/>
      <c r="J94" s="8"/>
      <c r="K94" s="29"/>
      <c r="L94" s="99"/>
      <c r="M94" s="99"/>
      <c r="N94" s="99"/>
      <c r="O94" s="21" t="s">
        <v>52</v>
      </c>
      <c r="P94" s="9">
        <v>9200</v>
      </c>
      <c r="Q94" s="9"/>
      <c r="R94" s="9"/>
      <c r="S94" s="9"/>
      <c r="T94" s="9"/>
      <c r="U94" s="9"/>
      <c r="V94" s="68">
        <f t="shared" si="24"/>
        <v>9200</v>
      </c>
      <c r="W94" s="96" t="s">
        <v>16</v>
      </c>
      <c r="X94" s="15">
        <f>4/4*31138*0+5/5*32007*0+6/6*57882*0+7/7*3460158*0+8/8*5718445*0+9/9*5753187*0+10/10*5785470*0+11/11*5796108.02*0+12/12*8663848.39</f>
        <v>8663848.39</v>
      </c>
      <c r="Y94" s="29">
        <f t="shared" si="25"/>
        <v>0.9417226510869566</v>
      </c>
    </row>
    <row r="95" spans="15:27" ht="12.75">
      <c r="O95" s="21" t="s">
        <v>42</v>
      </c>
      <c r="P95" s="9">
        <f>16653-4/4*(3111/3111*447+3113/3113*738)-9/9*15468</f>
        <v>0</v>
      </c>
      <c r="Q95" s="9"/>
      <c r="R95" s="9"/>
      <c r="S95" s="9"/>
      <c r="T95" s="9"/>
      <c r="U95" s="9"/>
      <c r="V95" s="54">
        <f t="shared" si="24"/>
        <v>0</v>
      </c>
      <c r="W95" s="96" t="s">
        <v>16</v>
      </c>
      <c r="X95" s="15">
        <f>2776000*0+3/3*4164000*0+4/4*5552000*0+5/5*6940000*0+6/6*8328000*0+7/7*9716000*0+8/8*11104000*0+9/9*12492000*0+10/10*13880000*0+11/11*15268000*0+12/12*16653000-X24-X27-X72</f>
        <v>0</v>
      </c>
      <c r="Y95" s="29" t="s">
        <v>120</v>
      </c>
      <c r="Z95" s="11"/>
      <c r="AA95" s="118">
        <f>V24+V27+V72-16653</f>
        <v>0</v>
      </c>
    </row>
    <row r="96" spans="15:27" ht="12.75">
      <c r="O96" s="21" t="s">
        <v>53</v>
      </c>
      <c r="P96" s="9">
        <f>31120-2071</f>
        <v>29049</v>
      </c>
      <c r="Q96" s="9"/>
      <c r="R96" s="9"/>
      <c r="S96" s="9"/>
      <c r="T96" s="9"/>
      <c r="U96" s="9"/>
      <c r="V96" s="68">
        <f t="shared" si="24"/>
        <v>29049</v>
      </c>
      <c r="W96" s="96" t="s">
        <v>16</v>
      </c>
      <c r="X96" s="15">
        <f>5186000*0+3/3*7572000*0+4/4*9958000*0+5/5*12344000*0+6/6*14730000*0+7/7*17116000*0+8/8*19502000*0+9/9*21888000+2386000+139172+11/11*2419370+12/12*2389000</f>
        <v>29221542</v>
      </c>
      <c r="Y96" s="29">
        <f t="shared" si="25"/>
        <v>1.0059396881131881</v>
      </c>
      <c r="Z96" s="11"/>
      <c r="AA96" s="15">
        <f>X24+X27+X72-2776000*0-4/4*5552000*0</f>
        <v>16653000</v>
      </c>
    </row>
    <row r="97" spans="1:25" s="11" customFormat="1" ht="12.75">
      <c r="A97" s="48"/>
      <c r="B97" s="64"/>
      <c r="C97" s="72"/>
      <c r="D97" s="72"/>
      <c r="E97" s="73"/>
      <c r="F97" s="73"/>
      <c r="G97" s="72"/>
      <c r="H97" s="72"/>
      <c r="I97" s="3"/>
      <c r="J97" s="8"/>
      <c r="K97" s="29"/>
      <c r="L97" s="99"/>
      <c r="M97" s="99"/>
      <c r="N97" s="99"/>
      <c r="O97" s="21" t="s">
        <v>86</v>
      </c>
      <c r="P97" s="9"/>
      <c r="Q97" s="9">
        <f>99/99*5109.1</f>
        <v>5109.1</v>
      </c>
      <c r="R97" s="9"/>
      <c r="S97" s="9"/>
      <c r="T97" s="9"/>
      <c r="U97" s="9"/>
      <c r="V97" s="68">
        <f t="shared" si="24"/>
        <v>5109.1</v>
      </c>
      <c r="W97" s="96" t="s">
        <v>16</v>
      </c>
      <c r="X97" s="15">
        <f>7/7*0+8/8*5109149.76</f>
        <v>5109149.76</v>
      </c>
      <c r="Y97" s="29">
        <f>X97/(V97*1000)</f>
        <v>1.0000097394844494</v>
      </c>
    </row>
    <row r="98" spans="1:27" s="11" customFormat="1" ht="12.75">
      <c r="A98" s="48"/>
      <c r="B98" s="64"/>
      <c r="C98" s="72"/>
      <c r="D98" s="72"/>
      <c r="E98" s="73"/>
      <c r="F98" s="73"/>
      <c r="G98" s="72"/>
      <c r="H98" s="72"/>
      <c r="I98" s="3"/>
      <c r="J98" s="8"/>
      <c r="K98" s="29"/>
      <c r="L98" s="99"/>
      <c r="M98" s="99"/>
      <c r="N98" s="99"/>
      <c r="O98" s="21" t="s">
        <v>54</v>
      </c>
      <c r="P98" s="9">
        <v>12256</v>
      </c>
      <c r="Q98" s="9"/>
      <c r="R98" s="9">
        <v>12000</v>
      </c>
      <c r="S98" s="9"/>
      <c r="T98" s="9">
        <v>-9659.3</v>
      </c>
      <c r="U98" s="9"/>
      <c r="V98" s="68">
        <f t="shared" si="24"/>
        <v>14596.7</v>
      </c>
      <c r="W98" s="96" t="s">
        <v>16</v>
      </c>
      <c r="X98" s="15">
        <f>3/3*5000000+6/6*3000000+12/12*4838212</f>
        <v>12838212</v>
      </c>
      <c r="Y98" s="29">
        <f t="shared" si="25"/>
        <v>0.879528386553125</v>
      </c>
      <c r="AA98" s="29"/>
    </row>
    <row r="99" spans="1:27" s="11" customFormat="1" ht="12.75">
      <c r="A99" s="48"/>
      <c r="B99" s="64"/>
      <c r="C99" s="72"/>
      <c r="D99" s="72"/>
      <c r="E99" s="73"/>
      <c r="F99" s="73"/>
      <c r="G99" s="72"/>
      <c r="H99" s="72"/>
      <c r="I99" s="3"/>
      <c r="J99" s="8"/>
      <c r="K99" s="29"/>
      <c r="L99" s="99"/>
      <c r="M99" s="99"/>
      <c r="N99" s="99"/>
      <c r="O99" s="21" t="s">
        <v>88</v>
      </c>
      <c r="P99" s="9">
        <f>8/8*-643.7+10/10*446.9</f>
        <v>-196.80000000000007</v>
      </c>
      <c r="Q99" s="9"/>
      <c r="R99" s="9"/>
      <c r="S99" s="9"/>
      <c r="T99" s="9"/>
      <c r="U99" s="9"/>
      <c r="V99" s="68">
        <f t="shared" si="24"/>
        <v>-196.80000000000007</v>
      </c>
      <c r="W99" s="96" t="s">
        <v>16</v>
      </c>
      <c r="X99" s="15">
        <f>-603848.1*0+7/7*-643700.85+9/9*446923.41</f>
        <v>-196777.44</v>
      </c>
      <c r="Y99" s="29"/>
      <c r="AA99" s="29"/>
    </row>
    <row r="100" spans="1:27" s="11" customFormat="1" ht="12.75">
      <c r="A100" s="48"/>
      <c r="B100" s="64"/>
      <c r="C100" s="72"/>
      <c r="D100" s="72"/>
      <c r="E100" s="73"/>
      <c r="F100" s="73"/>
      <c r="G100" s="72"/>
      <c r="H100" s="72"/>
      <c r="I100" s="3"/>
      <c r="J100" s="8"/>
      <c r="K100" s="29"/>
      <c r="L100" s="99"/>
      <c r="M100" s="99"/>
      <c r="N100" s="99"/>
      <c r="O100" s="21" t="s">
        <v>87</v>
      </c>
      <c r="P100" s="9"/>
      <c r="Q100" s="9"/>
      <c r="R100" s="9"/>
      <c r="S100" s="9"/>
      <c r="T100" s="9"/>
      <c r="U100" s="9"/>
      <c r="V100" s="54">
        <f t="shared" si="24"/>
        <v>0</v>
      </c>
      <c r="W100" s="96" t="s">
        <v>16</v>
      </c>
      <c r="X100" s="15">
        <f>9/9*918*0+10/10*(-96815*0+3/3*-127044*0+4/4*-106252*0+5/5*-147515*0+6/6*-92290*0+7/7*-163123*0+8/8*-144493*0+9/9*-155310*0+10/10*-157450*0+11/11*-159353)*0</f>
        <v>0</v>
      </c>
      <c r="Y100" s="29"/>
      <c r="AA100" s="29"/>
    </row>
    <row r="101" spans="1:27" s="11" customFormat="1" ht="12.75">
      <c r="A101" s="48"/>
      <c r="B101" s="64"/>
      <c r="C101" s="72"/>
      <c r="D101" s="72"/>
      <c r="E101" s="73"/>
      <c r="F101" s="73"/>
      <c r="G101" s="72"/>
      <c r="H101" s="72"/>
      <c r="I101" s="3"/>
      <c r="J101" s="8"/>
      <c r="K101" s="29"/>
      <c r="L101" s="99"/>
      <c r="M101" s="99"/>
      <c r="N101" s="99"/>
      <c r="O101" s="21" t="s">
        <v>55</v>
      </c>
      <c r="P101" s="9"/>
      <c r="Q101" s="9"/>
      <c r="R101" s="9"/>
      <c r="S101" s="9"/>
      <c r="T101" s="9"/>
      <c r="U101" s="9"/>
      <c r="V101" s="54">
        <f t="shared" si="24"/>
        <v>0</v>
      </c>
      <c r="W101" s="96" t="s">
        <v>16</v>
      </c>
      <c r="X101" s="15">
        <f>1011.5*0*3/3</f>
        <v>0</v>
      </c>
      <c r="Y101" s="29"/>
      <c r="AA101" s="29"/>
    </row>
    <row r="102" spans="1:27" ht="12.75">
      <c r="A102" s="80" t="s">
        <v>64</v>
      </c>
      <c r="B102" s="66">
        <f>SUM(B92:B101)</f>
        <v>0</v>
      </c>
      <c r="C102" s="5">
        <f>SUM(C92:C101)</f>
        <v>0</v>
      </c>
      <c r="D102" s="5">
        <f>SUM(D92:D101)</f>
        <v>0</v>
      </c>
      <c r="E102" s="17">
        <f>SUM(E92:E101)</f>
        <v>0</v>
      </c>
      <c r="F102" s="17">
        <f>SUM(F92:F101)</f>
        <v>0</v>
      </c>
      <c r="G102" s="5"/>
      <c r="H102" s="5">
        <f>SUM(H92:H101)</f>
        <v>0</v>
      </c>
      <c r="J102" s="52">
        <f>SUM(J92:J101)</f>
        <v>0</v>
      </c>
      <c r="O102" s="61">
        <f>(H102-0)*0+(J102-2/2*0)</f>
        <v>0</v>
      </c>
      <c r="P102" s="5">
        <f aca="true" t="shared" si="26" ref="P102:V102">SUM(P92:P101)</f>
        <v>55508.2</v>
      </c>
      <c r="Q102" s="5">
        <f t="shared" si="26"/>
        <v>5109.1</v>
      </c>
      <c r="R102" s="5">
        <f t="shared" si="26"/>
        <v>12000</v>
      </c>
      <c r="S102" s="5">
        <f t="shared" si="26"/>
        <v>20</v>
      </c>
      <c r="T102" s="5">
        <f t="shared" si="26"/>
        <v>-9659.3</v>
      </c>
      <c r="U102" s="5">
        <f t="shared" si="26"/>
        <v>0</v>
      </c>
      <c r="V102" s="5">
        <f t="shared" si="26"/>
        <v>62978</v>
      </c>
      <c r="W102" s="101"/>
      <c r="X102" s="51">
        <f>SUM(X92:X101)</f>
        <v>61059111.71</v>
      </c>
      <c r="Y102" s="30">
        <f>X102/(V102*1000)</f>
        <v>0.9695308156816667</v>
      </c>
      <c r="Z102" s="112">
        <f>2/2*(19276000.1-11383701.1-2*1540000-(X24+X27))-X102</f>
        <v>-57431812.71</v>
      </c>
      <c r="AA102" s="78">
        <f>((V102+2141/2141*(9/9)*100)-(2500+2800+9200+4112/4112*(16653-(4/4*(447+738)+9/9*15468))+29049+12256))*0+(X102+4112/4112*(4/4*(X24+X27)+9/9*X72+2329/2329*(9/9)*(X90-918)*0)-(20644256.52-13055969.12)*0-3/3*(40299088.74-38.72-23373513.12)*0-4/4*(53961757.06-38.72-32995189.19)*0-9/9*(138947944.49-81676853.51)*0-10/10*(151698985.22-90240882.24)*0-11/11*(164123696.24-98551934.24)*0-12/12*(202227384-156.46-124515115.83))</f>
        <v>1.4901161193847656E-08</v>
      </c>
    </row>
    <row r="103" spans="1:25" s="11" customFormat="1" ht="12.75">
      <c r="A103" s="48"/>
      <c r="B103" s="64"/>
      <c r="C103" s="72"/>
      <c r="D103" s="72"/>
      <c r="E103" s="73"/>
      <c r="F103" s="73"/>
      <c r="G103" s="72"/>
      <c r="H103" s="72"/>
      <c r="I103" s="3"/>
      <c r="J103" s="119"/>
      <c r="K103" s="31" t="s">
        <v>99</v>
      </c>
      <c r="L103" s="120"/>
      <c r="M103" s="99"/>
      <c r="N103" s="99"/>
      <c r="O103" s="3" t="s">
        <v>98</v>
      </c>
      <c r="P103" s="6"/>
      <c r="Q103" s="6"/>
      <c r="R103" s="6"/>
      <c r="S103" s="6"/>
      <c r="T103" s="6"/>
      <c r="U103" s="6"/>
      <c r="V103" s="6"/>
      <c r="W103" s="2"/>
      <c r="X103" s="121"/>
      <c r="Y103" s="31"/>
    </row>
    <row r="104" spans="1:25" s="102" customFormat="1" ht="12.75">
      <c r="A104" s="80" t="s">
        <v>21</v>
      </c>
      <c r="B104" s="134">
        <f>SUM(B7:B103)/2</f>
        <v>85623</v>
      </c>
      <c r="C104" s="135">
        <f>SUM(C7:C103)/2</f>
        <v>5109.099999999999</v>
      </c>
      <c r="D104" s="135">
        <f>SUM(D7:D103)/2</f>
        <v>1072</v>
      </c>
      <c r="E104" s="135">
        <f>SUM(E7:E103)/2</f>
        <v>133</v>
      </c>
      <c r="F104" s="135">
        <f>SUM(F7:F103)/2</f>
        <v>-8574.3</v>
      </c>
      <c r="G104" s="135"/>
      <c r="H104" s="135">
        <f>SUM(H7:H103)/2</f>
        <v>83362.79999999999</v>
      </c>
      <c r="I104" s="136"/>
      <c r="J104" s="137">
        <f>SUM(J4:J103)/2</f>
        <v>86868880.36000001</v>
      </c>
      <c r="K104" s="138">
        <f>J104/(H104*1000)</f>
        <v>1.0420580925784646</v>
      </c>
      <c r="L104" s="122"/>
      <c r="M104" s="97"/>
      <c r="N104" s="97"/>
      <c r="O104" s="42">
        <f>(108557-22934-H104)+(30829361.4-8315275-J104)*0</f>
        <v>2260.2000000000116</v>
      </c>
      <c r="P104" s="135">
        <f aca="true" t="shared" si="27" ref="P104:U104">SUM(P7:P103)/2</f>
        <v>85426.2</v>
      </c>
      <c r="Q104" s="135">
        <f t="shared" si="27"/>
        <v>5109.1</v>
      </c>
      <c r="R104" s="135">
        <f t="shared" si="27"/>
        <v>1072</v>
      </c>
      <c r="S104" s="135">
        <f t="shared" si="27"/>
        <v>133</v>
      </c>
      <c r="T104" s="135">
        <f t="shared" si="27"/>
        <v>-8574.3</v>
      </c>
      <c r="U104" s="135">
        <f t="shared" si="27"/>
        <v>0</v>
      </c>
      <c r="V104" s="135">
        <f>SUM(V7:V103)/2</f>
        <v>83166</v>
      </c>
      <c r="W104" s="136"/>
      <c r="X104" s="137">
        <f>SUM(X7:X103)/2</f>
        <v>82720747.31</v>
      </c>
      <c r="Y104" s="138">
        <f>X104/(V104*1000)</f>
        <v>0.9946462173243874</v>
      </c>
    </row>
    <row r="105" spans="1:25" s="11" customFormat="1" ht="12.75">
      <c r="A105" s="48"/>
      <c r="B105" s="64"/>
      <c r="C105" s="72"/>
      <c r="D105" s="72"/>
      <c r="E105" s="73"/>
      <c r="F105" s="73">
        <f>-8574.3-F104</f>
        <v>0</v>
      </c>
      <c r="G105" s="72"/>
      <c r="H105" s="72"/>
      <c r="I105" s="3"/>
      <c r="J105" s="8">
        <f>166681251.56*0+184026284.95*0+11/11*206309960.08*0+12/12*259778974.17-(23001378*0+28434308*0+11/11*98551934.24*0+12/12*(121015115.83+5343/5343*3500000))-(30152523.5*0+34400829.5*0+53504127.74-99/99*(862540*0+4248306.5*0+5109149.76))-(81676853.51*0+90240882.24)*0-(72000+11400)*0-J104</f>
        <v>0</v>
      </c>
      <c r="K105" s="29"/>
      <c r="L105" s="99"/>
      <c r="M105" s="99"/>
      <c r="N105" s="99"/>
      <c r="O105" s="3"/>
      <c r="P105" s="49">
        <f aca="true" t="shared" si="28" ref="P105:V105">P104-B104</f>
        <v>-196.8000000000029</v>
      </c>
      <c r="Q105" s="34">
        <f t="shared" si="28"/>
        <v>0</v>
      </c>
      <c r="R105" s="34">
        <f t="shared" si="28"/>
        <v>0</v>
      </c>
      <c r="S105" s="34">
        <f t="shared" si="28"/>
        <v>0</v>
      </c>
      <c r="T105" s="34">
        <f t="shared" si="28"/>
        <v>0</v>
      </c>
      <c r="U105" s="34">
        <f t="shared" si="28"/>
        <v>0</v>
      </c>
      <c r="V105" s="34">
        <f t="shared" si="28"/>
        <v>-196.79999999998836</v>
      </c>
      <c r="W105" s="2"/>
      <c r="X105" s="42">
        <f>X104+X120*0-J104</f>
        <v>-4148133.050000012</v>
      </c>
      <c r="Y105" s="29"/>
    </row>
    <row r="106" spans="1:25" s="11" customFormat="1" ht="12.75">
      <c r="A106" s="82" t="s">
        <v>19</v>
      </c>
      <c r="B106" s="64"/>
      <c r="C106" s="72"/>
      <c r="D106" s="72"/>
      <c r="E106" s="73"/>
      <c r="F106" s="73"/>
      <c r="G106" s="72"/>
      <c r="H106" s="72"/>
      <c r="I106" s="3"/>
      <c r="J106" s="8"/>
      <c r="K106" s="29"/>
      <c r="L106" s="99"/>
      <c r="M106" s="99"/>
      <c r="N106" s="99"/>
      <c r="O106" s="3"/>
      <c r="P106" s="6"/>
      <c r="Q106" s="6"/>
      <c r="R106" s="6"/>
      <c r="S106" s="6"/>
      <c r="T106" s="6"/>
      <c r="U106" s="6"/>
      <c r="V106" s="6"/>
      <c r="W106" s="2"/>
      <c r="X106" s="8"/>
      <c r="Y106" s="29"/>
    </row>
    <row r="107" spans="1:27" ht="12.75">
      <c r="A107" s="80" t="s">
        <v>28</v>
      </c>
      <c r="X107" s="42">
        <f>SUM(X108:X119)-SUM(J108:J119)</f>
        <v>559334.2199999988</v>
      </c>
      <c r="Y107" s="42" t="s">
        <v>113</v>
      </c>
      <c r="AA107" s="123">
        <f>X107+X120</f>
        <v>3312225.0199999996</v>
      </c>
    </row>
    <row r="108" spans="1:27" ht="12.75">
      <c r="A108" s="48" t="s">
        <v>90</v>
      </c>
      <c r="C108" s="72">
        <f>1/1*5100+12/12*-600</f>
        <v>4500</v>
      </c>
      <c r="H108" s="73">
        <f aca="true" t="shared" si="29" ref="H108:H135">SUM(B108:G108)</f>
        <v>4500</v>
      </c>
      <c r="J108" s="8">
        <f>3574840*0+3/3*5658780*0+4/4*7644628*0+5/5*9719589*0+6/6*11703165*0+7/7*13507239*0+8/8*15227171*0+9/9*16879411*0+10/10*18750571*0+11/11*20477855*0+12/12*22598751-J109</f>
        <v>3846551</v>
      </c>
      <c r="K108" s="29">
        <f>J108/(H108*1000)</f>
        <v>0.8547891111111111</v>
      </c>
      <c r="L108" s="113"/>
      <c r="M108" s="113"/>
      <c r="N108" s="113"/>
      <c r="O108" s="34"/>
      <c r="P108" s="9"/>
      <c r="Q108" s="54">
        <f>1/1*5100+12/12*-600</f>
        <v>4500</v>
      </c>
      <c r="R108" s="9"/>
      <c r="S108" s="9"/>
      <c r="T108" s="9"/>
      <c r="U108" s="9"/>
      <c r="V108" s="68">
        <f>SUM(P108:U108)</f>
        <v>4500</v>
      </c>
      <c r="W108" s="96" t="s">
        <v>16</v>
      </c>
      <c r="X108" s="24">
        <f>(5/5)*(1000000+3/3*500000+4/4*800000+6/6*500000+7/7*500000+8/8*500000+9/9*500000)</f>
        <v>4300000</v>
      </c>
      <c r="Y108" s="29">
        <f>X108/(V108*1000)</f>
        <v>0.9555555555555556</v>
      </c>
      <c r="Z108" s="11"/>
      <c r="AA108" s="123">
        <f>AA107-X144</f>
        <v>3.725290298461914E-09</v>
      </c>
    </row>
    <row r="109" spans="1:25" s="11" customFormat="1" ht="12.75">
      <c r="A109" s="48" t="s">
        <v>68</v>
      </c>
      <c r="B109" s="64"/>
      <c r="C109" s="72">
        <f>1/1*13000+9/9*1600+10/10*3819+12/12*663</f>
        <v>19082</v>
      </c>
      <c r="D109" s="72"/>
      <c r="E109" s="73"/>
      <c r="F109" s="73"/>
      <c r="G109" s="72"/>
      <c r="H109" s="73">
        <f>SUM(B109:G109)</f>
        <v>19082</v>
      </c>
      <c r="I109" s="3"/>
      <c r="J109" s="8">
        <f>3026400*0+3/3*4595800*0+4/4*6197000*0+5/5*7906200*0+6/6*9525600*0+7/7*11090400*0+8/8*12586200*0+9/9*14109800*0+10/10*15680000*0+11/11*17170000*0+12/12*18752200</f>
        <v>18752200</v>
      </c>
      <c r="K109" s="29">
        <f>J109/(H109*1000)</f>
        <v>0.9827166963630647</v>
      </c>
      <c r="L109" s="113"/>
      <c r="M109" s="113"/>
      <c r="N109" s="113"/>
      <c r="O109" s="34"/>
      <c r="P109" s="9"/>
      <c r="Q109" s="54">
        <f>1/1*13000+9/9*1600+10/10*3819+12/12*663</f>
        <v>19082</v>
      </c>
      <c r="R109" s="9"/>
      <c r="S109" s="9"/>
      <c r="T109" s="9"/>
      <c r="U109" s="9"/>
      <c r="V109" s="68">
        <f>SUM(P109:U109)</f>
        <v>19082</v>
      </c>
      <c r="W109" s="96" t="s">
        <v>16</v>
      </c>
      <c r="X109" s="24">
        <f>(5/5)*2900000+3/3*1805000+4/4*1721000+5/5*1570000+6/6*1602000+7/7*1809000+8/8*1520000+9/9*1665000+10/10*1396000+11/11*1624000+12/12*1470000</f>
        <v>19082000</v>
      </c>
      <c r="Y109" s="29">
        <f>X109/(V109*1000)</f>
        <v>1</v>
      </c>
    </row>
    <row r="110" spans="1:25" s="11" customFormat="1" ht="12.75" hidden="1">
      <c r="A110" s="48" t="s">
        <v>69</v>
      </c>
      <c r="B110" s="64"/>
      <c r="C110" s="72"/>
      <c r="D110" s="72"/>
      <c r="E110" s="73"/>
      <c r="F110" s="73"/>
      <c r="G110" s="72"/>
      <c r="H110" s="72">
        <f t="shared" si="29"/>
        <v>0</v>
      </c>
      <c r="I110" s="3"/>
      <c r="J110" s="8"/>
      <c r="K110" s="29"/>
      <c r="L110" s="113"/>
      <c r="M110" s="113"/>
      <c r="N110" s="113"/>
      <c r="O110" s="34"/>
      <c r="P110" s="9"/>
      <c r="Q110" s="9"/>
      <c r="R110" s="9"/>
      <c r="S110" s="9"/>
      <c r="T110" s="9"/>
      <c r="U110" s="9"/>
      <c r="V110" s="54">
        <f aca="true" t="shared" si="30" ref="V110:V119">SUM(P110:U110)</f>
        <v>0</v>
      </c>
      <c r="W110" s="96" t="s">
        <v>16</v>
      </c>
      <c r="X110" s="15"/>
      <c r="Y110" s="29"/>
    </row>
    <row r="111" spans="1:25" s="11" customFormat="1" ht="12.75">
      <c r="A111" s="48" t="s">
        <v>41</v>
      </c>
      <c r="B111" s="64"/>
      <c r="C111" s="72">
        <f>10/10*(613+151+55+15.6+16.4+4+27)</f>
        <v>882</v>
      </c>
      <c r="D111" s="72"/>
      <c r="E111" s="73"/>
      <c r="F111" s="73"/>
      <c r="G111" s="72"/>
      <c r="H111" s="72">
        <f t="shared" si="29"/>
        <v>882</v>
      </c>
      <c r="I111" s="3"/>
      <c r="J111" s="8">
        <f>10/10*(613000+151000+55000+15600+16400+4000+27000)</f>
        <v>882000</v>
      </c>
      <c r="K111" s="29">
        <f aca="true" t="shared" si="31" ref="K111:K118">J111/(H111*1000)</f>
        <v>1</v>
      </c>
      <c r="L111" s="113" t="s">
        <v>130</v>
      </c>
      <c r="M111" s="113"/>
      <c r="N111" s="113"/>
      <c r="O111" s="34"/>
      <c r="P111" s="9"/>
      <c r="Q111" s="9">
        <f>10/10*(856+26)</f>
        <v>882</v>
      </c>
      <c r="R111" s="9"/>
      <c r="S111" s="9"/>
      <c r="T111" s="9"/>
      <c r="U111" s="9"/>
      <c r="V111" s="68">
        <f t="shared" si="30"/>
        <v>882</v>
      </c>
      <c r="W111" s="96" t="s">
        <v>16</v>
      </c>
      <c r="X111" s="15">
        <f>4/4*856000*(40%+5/5*30%+10/10*30%)+8/8*26000</f>
        <v>882000</v>
      </c>
      <c r="Y111" s="29">
        <f aca="true" t="shared" si="32" ref="Y111:Y118">X111/(V111*1000)</f>
        <v>1</v>
      </c>
    </row>
    <row r="112" spans="1:25" s="11" customFormat="1" ht="12.75">
      <c r="A112" s="48" t="s">
        <v>96</v>
      </c>
      <c r="B112" s="64"/>
      <c r="C112" s="72">
        <f>(3/3+5/5)*(262.8+100+36)+7/7*(323.4+12+4+4/4*(10+25.7)+5/5*(10+13))+(4/4*0+5/5)*(370.2+58+21)*0+10/10*398.1</f>
        <v>1593.8000000000002</v>
      </c>
      <c r="D112" s="72"/>
      <c r="E112" s="73"/>
      <c r="F112" s="73"/>
      <c r="G112" s="72"/>
      <c r="H112" s="73">
        <f t="shared" si="29"/>
        <v>1593.8000000000002</v>
      </c>
      <c r="I112" s="3"/>
      <c r="J112" s="8">
        <f>4/4*((262822+100000+36000)*0+(535190*0+394441+37268+103481))*0+5/5*(663768*0+6/6*(490393+45906+127469)*0+7/7*(602204+155420+55972)*0+8/8*(703740+180799+65116)*0+9/9*(802761+205271+74312)*0+11/11*(1014386+258172+93368)*0+12/12*(1226084+311092+112428))+6/6*(5/5)*((9595*0+11/11*16535)+13000)+12/12*((1/1)*26705.44+(3/3)*(5149.55+573.54+38598)+(4/4)*(2719.25+732/732*(583+1506+18963+35843+7082+957)))</f>
        <v>1817818.78</v>
      </c>
      <c r="K112" s="29">
        <f t="shared" si="31"/>
        <v>1.1405563935249088</v>
      </c>
      <c r="L112" s="113">
        <f>J112-J73</f>
        <v>168214.78000000003</v>
      </c>
      <c r="M112" s="99">
        <f>98216/98216*(583+1506+18963+35843+7082+957)+901/901*26705.44+903/903*(1226084+311092+112428+5149.55+573.54+38598)+904/904*2719.25+905/905*(16535+13000)</f>
        <v>1817818.78</v>
      </c>
      <c r="N112" s="99">
        <f>J112-M112</f>
        <v>0</v>
      </c>
      <c r="O112" s="34"/>
      <c r="P112" s="9"/>
      <c r="Q112" s="9">
        <f>(3/3+5/5)*398.8+7/7*398.1+10/10*398.1</f>
        <v>1593.8000000000002</v>
      </c>
      <c r="R112" s="9"/>
      <c r="S112" s="9"/>
      <c r="T112" s="9"/>
      <c r="U112" s="9"/>
      <c r="V112" s="68">
        <f t="shared" si="30"/>
        <v>1593.8000000000002</v>
      </c>
      <c r="W112" s="96" t="s">
        <v>16</v>
      </c>
      <c r="X112" s="15">
        <f>(3/3+5/5)*398822+7/7*398130+10/10*398130</f>
        <v>1593904</v>
      </c>
      <c r="Y112" s="29">
        <f t="shared" si="32"/>
        <v>1.0000652528548122</v>
      </c>
    </row>
    <row r="113" spans="1:25" s="11" customFormat="1" ht="12.75">
      <c r="A113" s="48" t="s">
        <v>97</v>
      </c>
      <c r="B113" s="64"/>
      <c r="C113" s="72">
        <f>3/3*215.2</f>
        <v>215.2</v>
      </c>
      <c r="D113" s="72"/>
      <c r="E113" s="73"/>
      <c r="F113" s="73"/>
      <c r="G113" s="72"/>
      <c r="H113" s="73">
        <f t="shared" si="29"/>
        <v>215.2</v>
      </c>
      <c r="I113" s="3"/>
      <c r="J113" s="8">
        <f>4/4*215200</f>
        <v>215200</v>
      </c>
      <c r="K113" s="29">
        <f t="shared" si="31"/>
        <v>1</v>
      </c>
      <c r="L113" s="113" t="s">
        <v>131</v>
      </c>
      <c r="M113" s="99">
        <f>903/903*215200</f>
        <v>215200</v>
      </c>
      <c r="N113" s="99">
        <f>J113-M113</f>
        <v>0</v>
      </c>
      <c r="O113" s="34"/>
      <c r="P113" s="9"/>
      <c r="Q113" s="9">
        <f>3/3*215.2</f>
        <v>215.2</v>
      </c>
      <c r="R113" s="9"/>
      <c r="S113" s="9"/>
      <c r="T113" s="9"/>
      <c r="U113" s="9"/>
      <c r="V113" s="68">
        <f t="shared" si="30"/>
        <v>215.2</v>
      </c>
      <c r="W113" s="96" t="s">
        <v>16</v>
      </c>
      <c r="X113" s="15">
        <f>3/3*215200</f>
        <v>215200</v>
      </c>
      <c r="Y113" s="29">
        <f t="shared" si="32"/>
        <v>1</v>
      </c>
    </row>
    <row r="114" spans="1:25" s="11" customFormat="1" ht="12.75">
      <c r="A114" s="48" t="s">
        <v>95</v>
      </c>
      <c r="B114" s="64"/>
      <c r="C114" s="72">
        <f>4/4*45</f>
        <v>45</v>
      </c>
      <c r="D114" s="72"/>
      <c r="E114" s="73">
        <f>-26.1+26.1</f>
        <v>0</v>
      </c>
      <c r="F114" s="73"/>
      <c r="G114" s="72"/>
      <c r="H114" s="73">
        <f>SUM(B114:G114)</f>
        <v>45</v>
      </c>
      <c r="I114" s="3"/>
      <c r="J114" s="8">
        <f>4/4*9455*0+5/5*43198+12/12*1801</f>
        <v>44999</v>
      </c>
      <c r="K114" s="29">
        <f t="shared" si="31"/>
        <v>0.9999777777777777</v>
      </c>
      <c r="L114" s="113">
        <f>J114-18910</f>
        <v>26089</v>
      </c>
      <c r="M114" s="99">
        <f>903/903*44999</f>
        <v>44999</v>
      </c>
      <c r="N114" s="99">
        <f>J114-M114</f>
        <v>0</v>
      </c>
      <c r="O114" s="34"/>
      <c r="P114" s="9"/>
      <c r="Q114" s="54">
        <f>4/4*45</f>
        <v>45</v>
      </c>
      <c r="R114" s="54"/>
      <c r="S114" s="59"/>
      <c r="T114" s="59"/>
      <c r="U114" s="54"/>
      <c r="V114" s="68">
        <f t="shared" si="30"/>
        <v>45</v>
      </c>
      <c r="W114" s="3"/>
      <c r="X114" s="8">
        <f>4/4*44999</f>
        <v>44999</v>
      </c>
      <c r="Y114" s="29">
        <f t="shared" si="32"/>
        <v>0.9999777777777777</v>
      </c>
    </row>
    <row r="115" spans="1:25" s="11" customFormat="1" ht="12.75">
      <c r="A115" s="48" t="s">
        <v>109</v>
      </c>
      <c r="B115" s="64"/>
      <c r="C115" s="72">
        <f>6/6*32</f>
        <v>32</v>
      </c>
      <c r="D115" s="72"/>
      <c r="E115" s="73"/>
      <c r="F115" s="73"/>
      <c r="G115" s="72"/>
      <c r="H115" s="72">
        <f>SUM(B115:G115)</f>
        <v>32</v>
      </c>
      <c r="I115" s="3"/>
      <c r="J115" s="8">
        <f>7/7*32000</f>
        <v>32000</v>
      </c>
      <c r="K115" s="29">
        <f t="shared" si="31"/>
        <v>1</v>
      </c>
      <c r="L115" s="113"/>
      <c r="M115" s="113"/>
      <c r="N115" s="113"/>
      <c r="O115" s="8"/>
      <c r="P115" s="9"/>
      <c r="Q115" s="54">
        <f>6/6*32</f>
        <v>32</v>
      </c>
      <c r="R115" s="9"/>
      <c r="S115" s="9"/>
      <c r="T115" s="9"/>
      <c r="U115" s="9"/>
      <c r="V115" s="68">
        <f t="shared" si="30"/>
        <v>32</v>
      </c>
      <c r="W115" s="96" t="s">
        <v>16</v>
      </c>
      <c r="X115" s="71">
        <f>6/6*32000</f>
        <v>32000</v>
      </c>
      <c r="Y115" s="29">
        <f t="shared" si="32"/>
        <v>1</v>
      </c>
    </row>
    <row r="116" spans="1:25" s="11" customFormat="1" ht="24">
      <c r="A116" s="48" t="s">
        <v>163</v>
      </c>
      <c r="B116" s="64"/>
      <c r="C116" s="64">
        <f>0+11/11*500</f>
        <v>500</v>
      </c>
      <c r="D116" s="72"/>
      <c r="E116" s="73">
        <f>300*0</f>
        <v>0</v>
      </c>
      <c r="F116" s="73"/>
      <c r="G116" s="72"/>
      <c r="H116" s="72">
        <f>SUM(B116:G116)</f>
        <v>500</v>
      </c>
      <c r="I116" s="3"/>
      <c r="J116" s="8">
        <f>4800*0+8/8*14400*0+11/11*638400-16/16*138400</f>
        <v>500000</v>
      </c>
      <c r="K116" s="29">
        <f t="shared" si="31"/>
        <v>1</v>
      </c>
      <c r="L116" s="113"/>
      <c r="M116" s="113"/>
      <c r="N116" s="113"/>
      <c r="O116" s="124" t="s">
        <v>122</v>
      </c>
      <c r="P116" s="9"/>
      <c r="Q116" s="64">
        <f>0+11/11*500</f>
        <v>500</v>
      </c>
      <c r="R116" s="72"/>
      <c r="S116" s="73">
        <f>300*0</f>
        <v>0</v>
      </c>
      <c r="T116" s="73"/>
      <c r="U116" s="72"/>
      <c r="V116" s="68">
        <f t="shared" si="30"/>
        <v>500</v>
      </c>
      <c r="W116" s="3"/>
      <c r="X116" s="8">
        <f>4800*0+8/8*14400*0+11/11*638400-16/16*138400</f>
        <v>500000</v>
      </c>
      <c r="Y116" s="29">
        <f t="shared" si="32"/>
        <v>1</v>
      </c>
    </row>
    <row r="117" spans="1:25" s="11" customFormat="1" ht="24.75" customHeight="1">
      <c r="A117" s="48" t="s">
        <v>164</v>
      </c>
      <c r="B117" s="64"/>
      <c r="C117" s="72">
        <f>7/7*99/99*2988.6*16/16*0+11/11*41609/41609*8392</f>
        <v>8392</v>
      </c>
      <c r="D117" s="72">
        <f>6/6*(1112/1112*1500)*16/16*0</f>
        <v>0</v>
      </c>
      <c r="E117" s="73">
        <f>128.4*16/16*0</f>
        <v>0</v>
      </c>
      <c r="F117" s="73"/>
      <c r="G117" s="72"/>
      <c r="H117" s="72">
        <f>SUM(B117:G117)</f>
        <v>8392</v>
      </c>
      <c r="I117" s="3"/>
      <c r="J117" s="8">
        <f>11122011/11122011*(16560*0+3/3*157416*0+4/4*163416*0+7/7*291816*0+8/8*303216*0+10/10*756362)*16/16*0+41609/41609*14500*0+12/12*8392000</f>
        <v>8392000</v>
      </c>
      <c r="K117" s="29">
        <f t="shared" si="31"/>
        <v>1</v>
      </c>
      <c r="L117" s="113"/>
      <c r="M117" s="113"/>
      <c r="N117" s="113"/>
      <c r="O117" s="4"/>
      <c r="P117" s="9"/>
      <c r="Q117" s="54">
        <f>7/7*99/99*2988.6*16/16*0+11/11*41609/41609*8392</f>
        <v>8392</v>
      </c>
      <c r="R117" s="54">
        <f>6/6*(1112/1112*1500)*16/16*0</f>
        <v>0</v>
      </c>
      <c r="S117" s="59">
        <f>128.4*16/16*0</f>
        <v>0</v>
      </c>
      <c r="T117" s="59"/>
      <c r="U117" s="54"/>
      <c r="V117" s="68">
        <f t="shared" si="30"/>
        <v>8392</v>
      </c>
      <c r="W117" s="3"/>
      <c r="X117" s="8">
        <f>112011/112011*8392000</f>
        <v>8392000</v>
      </c>
      <c r="Y117" s="29">
        <f t="shared" si="32"/>
        <v>1</v>
      </c>
    </row>
    <row r="118" spans="1:25" s="11" customFormat="1" ht="12" customHeight="1">
      <c r="A118" s="48" t="s">
        <v>165</v>
      </c>
      <c r="B118" s="64"/>
      <c r="C118" s="72">
        <f>11/11*93566/93566*800</f>
        <v>800</v>
      </c>
      <c r="D118" s="72">
        <f>6/6*(1112/1112*1500)*16/16*0</f>
        <v>0</v>
      </c>
      <c r="E118" s="73">
        <f>128.4*16/16*0</f>
        <v>0</v>
      </c>
      <c r="F118" s="73"/>
      <c r="G118" s="72"/>
      <c r="H118" s="72">
        <f>SUM(B118:G118)</f>
        <v>800</v>
      </c>
      <c r="I118" s="3"/>
      <c r="J118" s="8">
        <f>11122011/11122011*800000</f>
        <v>800000</v>
      </c>
      <c r="K118" s="29">
        <f t="shared" si="31"/>
        <v>1</v>
      </c>
      <c r="L118" s="113"/>
      <c r="M118" s="113"/>
      <c r="N118" s="113"/>
      <c r="O118" s="4"/>
      <c r="P118" s="9"/>
      <c r="Q118" s="54">
        <f>11/11*800</f>
        <v>800</v>
      </c>
      <c r="R118" s="54">
        <f>6/6*(1112/1112*1500)*16/16*0</f>
        <v>0</v>
      </c>
      <c r="S118" s="59">
        <f>128.4*16/16*0</f>
        <v>0</v>
      </c>
      <c r="T118" s="59"/>
      <c r="U118" s="54"/>
      <c r="V118" s="68">
        <f>SUM(P118:U118)</f>
        <v>800</v>
      </c>
      <c r="W118" s="3"/>
      <c r="X118" s="8">
        <f>112011/112011*800000</f>
        <v>800000</v>
      </c>
      <c r="Y118" s="29">
        <f t="shared" si="32"/>
        <v>1</v>
      </c>
    </row>
    <row r="119" spans="1:25" s="11" customFormat="1" ht="12.75" hidden="1">
      <c r="A119" s="48"/>
      <c r="B119" s="64"/>
      <c r="C119" s="72"/>
      <c r="D119" s="72"/>
      <c r="E119" s="73"/>
      <c r="F119" s="73"/>
      <c r="G119" s="72"/>
      <c r="H119" s="72">
        <f t="shared" si="29"/>
        <v>0</v>
      </c>
      <c r="I119" s="3"/>
      <c r="J119" s="8"/>
      <c r="K119" s="29"/>
      <c r="L119" s="113"/>
      <c r="M119" s="113"/>
      <c r="N119" s="113"/>
      <c r="O119" s="22"/>
      <c r="P119" s="9"/>
      <c r="Q119" s="9"/>
      <c r="R119" s="9"/>
      <c r="S119" s="9"/>
      <c r="T119" s="9"/>
      <c r="U119" s="9"/>
      <c r="V119" s="54">
        <f t="shared" si="30"/>
        <v>0</v>
      </c>
      <c r="W119" s="96" t="s">
        <v>16</v>
      </c>
      <c r="X119" s="15"/>
      <c r="Y119" s="29"/>
    </row>
    <row r="120" spans="1:25" ht="12.75">
      <c r="A120" s="80" t="s">
        <v>29</v>
      </c>
      <c r="H120" s="72">
        <f t="shared" si="29"/>
        <v>0</v>
      </c>
      <c r="L120" s="113"/>
      <c r="M120" s="113"/>
      <c r="N120" s="113"/>
      <c r="O120" s="8"/>
      <c r="X120" s="42">
        <f>SUM(X121:X134)-SUM(J121:J134)</f>
        <v>2752890.8000000007</v>
      </c>
      <c r="Y120" s="42" t="s">
        <v>113</v>
      </c>
    </row>
    <row r="121" spans="1:25" s="11" customFormat="1" ht="12.75">
      <c r="A121" s="83" t="s">
        <v>38</v>
      </c>
      <c r="B121" s="64"/>
      <c r="C121" s="72">
        <f>4/4*4000</f>
        <v>4000</v>
      </c>
      <c r="D121" s="72"/>
      <c r="E121" s="73"/>
      <c r="F121" s="73"/>
      <c r="G121" s="72"/>
      <c r="H121" s="72">
        <f t="shared" si="29"/>
        <v>4000</v>
      </c>
      <c r="I121" s="3"/>
      <c r="J121" s="8">
        <f>5/5*1000000+6/6*800000+8/8*800000+9/9*300000+10/10*300000+11/11*300000+12/12*500000</f>
        <v>4000000</v>
      </c>
      <c r="K121" s="29">
        <f aca="true" t="shared" si="33" ref="K121:K128">J121/(H121*1000)</f>
        <v>1</v>
      </c>
      <c r="L121" s="113"/>
      <c r="M121" s="113"/>
      <c r="N121" s="113"/>
      <c r="O121" s="3"/>
      <c r="P121" s="9"/>
      <c r="Q121" s="54">
        <f>4/4*4000</f>
        <v>4000</v>
      </c>
      <c r="R121" s="9"/>
      <c r="S121" s="9"/>
      <c r="T121" s="9"/>
      <c r="U121" s="9"/>
      <c r="V121" s="54">
        <f aca="true" t="shared" si="34" ref="V121:V135">SUM(P121:U121)</f>
        <v>4000</v>
      </c>
      <c r="W121" s="96" t="s">
        <v>16</v>
      </c>
      <c r="X121" s="15">
        <f>4/4*4000000</f>
        <v>4000000</v>
      </c>
      <c r="Y121" s="29">
        <f aca="true" t="shared" si="35" ref="Y121:Y126">X121/(V121*1000)</f>
        <v>1</v>
      </c>
    </row>
    <row r="122" spans="1:27" ht="12.75">
      <c r="A122" s="48" t="s">
        <v>166</v>
      </c>
      <c r="C122" s="72">
        <f>5/5*164.2</f>
        <v>164.2</v>
      </c>
      <c r="H122" s="72">
        <f t="shared" si="29"/>
        <v>164.2</v>
      </c>
      <c r="J122" s="8">
        <f>8/8*24200+10/10*4351/4351*(85300+21000+7500+9600+16600)</f>
        <v>164200</v>
      </c>
      <c r="K122" s="29">
        <f t="shared" si="33"/>
        <v>1</v>
      </c>
      <c r="L122" s="113"/>
      <c r="M122" s="113">
        <f>140000*0+24200</f>
        <v>24200</v>
      </c>
      <c r="N122" s="99">
        <f>J122-M122</f>
        <v>140000</v>
      </c>
      <c r="O122" s="55"/>
      <c r="P122" s="9"/>
      <c r="Q122" s="54">
        <f>5/5*164.2</f>
        <v>164.2</v>
      </c>
      <c r="R122" s="9"/>
      <c r="S122" s="9"/>
      <c r="T122" s="9"/>
      <c r="U122" s="9"/>
      <c r="V122" s="54">
        <f t="shared" si="34"/>
        <v>164.2</v>
      </c>
      <c r="W122" s="96" t="s">
        <v>16</v>
      </c>
      <c r="X122" s="71">
        <f>5/5*164200</f>
        <v>164200</v>
      </c>
      <c r="Y122" s="29">
        <f t="shared" si="35"/>
        <v>1</v>
      </c>
      <c r="Z122" s="11"/>
      <c r="AA122" s="24"/>
    </row>
    <row r="123" spans="1:25" s="11" customFormat="1" ht="12.75">
      <c r="A123" s="48" t="s">
        <v>70</v>
      </c>
      <c r="B123" s="64"/>
      <c r="C123" s="72">
        <f>5/5*53.8</f>
        <v>53.8</v>
      </c>
      <c r="D123" s="72"/>
      <c r="E123" s="73"/>
      <c r="F123" s="73"/>
      <c r="G123" s="72"/>
      <c r="H123" s="72">
        <f t="shared" si="29"/>
        <v>53.8</v>
      </c>
      <c r="I123" s="3"/>
      <c r="J123" s="8">
        <f>6/6*53800</f>
        <v>53800</v>
      </c>
      <c r="K123" s="29">
        <f t="shared" si="33"/>
        <v>1</v>
      </c>
      <c r="L123" s="113"/>
      <c r="M123" s="113"/>
      <c r="N123" s="113"/>
      <c r="O123" s="3"/>
      <c r="P123" s="9"/>
      <c r="Q123" s="54">
        <f>5/5*53.8</f>
        <v>53.8</v>
      </c>
      <c r="R123" s="9"/>
      <c r="S123" s="9"/>
      <c r="T123" s="9"/>
      <c r="U123" s="9"/>
      <c r="V123" s="54">
        <f t="shared" si="34"/>
        <v>53.8</v>
      </c>
      <c r="W123" s="96" t="s">
        <v>16</v>
      </c>
      <c r="X123" s="71">
        <f>5/5*53800</f>
        <v>53800</v>
      </c>
      <c r="Y123" s="29">
        <f t="shared" si="35"/>
        <v>1</v>
      </c>
    </row>
    <row r="124" spans="1:25" s="11" customFormat="1" ht="12" customHeight="1">
      <c r="A124" s="48" t="s">
        <v>167</v>
      </c>
      <c r="B124" s="64"/>
      <c r="C124" s="72">
        <f>5/5*50</f>
        <v>50</v>
      </c>
      <c r="D124" s="72"/>
      <c r="E124" s="73"/>
      <c r="F124" s="73"/>
      <c r="G124" s="72"/>
      <c r="H124" s="72">
        <f t="shared" si="29"/>
        <v>50</v>
      </c>
      <c r="I124" s="3"/>
      <c r="J124" s="8">
        <f>7/7*10700*0+10/10*22700*0+12/12*50000</f>
        <v>50000</v>
      </c>
      <c r="K124" s="29">
        <f t="shared" si="33"/>
        <v>1</v>
      </c>
      <c r="L124" s="113"/>
      <c r="M124" s="113"/>
      <c r="N124" s="113"/>
      <c r="O124" s="3"/>
      <c r="P124" s="9"/>
      <c r="Q124" s="54">
        <f>5/5*50</f>
        <v>50</v>
      </c>
      <c r="R124" s="9"/>
      <c r="S124" s="9"/>
      <c r="T124" s="9"/>
      <c r="U124" s="9"/>
      <c r="V124" s="54">
        <f t="shared" si="34"/>
        <v>50</v>
      </c>
      <c r="W124" s="96" t="s">
        <v>16</v>
      </c>
      <c r="X124" s="71">
        <f>5/5*50000</f>
        <v>50000</v>
      </c>
      <c r="Y124" s="29">
        <f t="shared" si="35"/>
        <v>1</v>
      </c>
    </row>
    <row r="125" spans="1:25" s="11" customFormat="1" ht="12" customHeight="1">
      <c r="A125" s="48" t="s">
        <v>168</v>
      </c>
      <c r="B125" s="64"/>
      <c r="C125" s="72">
        <f>5/5*(3*15)</f>
        <v>45</v>
      </c>
      <c r="D125" s="72"/>
      <c r="E125" s="73"/>
      <c r="F125" s="73"/>
      <c r="G125" s="72"/>
      <c r="H125" s="72">
        <f t="shared" si="29"/>
        <v>45</v>
      </c>
      <c r="I125" s="3"/>
      <c r="J125" s="8">
        <f>6/6*45000</f>
        <v>45000</v>
      </c>
      <c r="K125" s="29">
        <f t="shared" si="33"/>
        <v>1</v>
      </c>
      <c r="L125" s="113"/>
      <c r="M125" s="113"/>
      <c r="N125" s="113"/>
      <c r="O125" s="3"/>
      <c r="P125" s="9"/>
      <c r="Q125" s="54">
        <f>5/5*(3*15)</f>
        <v>45</v>
      </c>
      <c r="R125" s="9"/>
      <c r="S125" s="9"/>
      <c r="T125" s="9"/>
      <c r="U125" s="9"/>
      <c r="V125" s="54">
        <f t="shared" si="34"/>
        <v>45</v>
      </c>
      <c r="W125" s="96" t="s">
        <v>16</v>
      </c>
      <c r="X125" s="71">
        <f>5/5*45000</f>
        <v>45000</v>
      </c>
      <c r="Y125" s="29">
        <f t="shared" si="35"/>
        <v>1</v>
      </c>
    </row>
    <row r="126" spans="1:25" s="11" customFormat="1" ht="12.75">
      <c r="A126" s="48" t="s">
        <v>71</v>
      </c>
      <c r="B126" s="64"/>
      <c r="C126" s="72">
        <f>4/4*175</f>
        <v>175</v>
      </c>
      <c r="D126" s="72"/>
      <c r="E126" s="73"/>
      <c r="F126" s="73"/>
      <c r="G126" s="72"/>
      <c r="H126" s="72">
        <f t="shared" si="29"/>
        <v>175</v>
      </c>
      <c r="I126" s="3"/>
      <c r="J126" s="8">
        <f>(1/1)*51270*0+3/3*47170*0+5/5*61684*0+6/6*60820*0+8/8*59720*0+9/9*89330+12/12*40350</f>
        <v>129680</v>
      </c>
      <c r="K126" s="29">
        <f t="shared" si="33"/>
        <v>0.7410285714285715</v>
      </c>
      <c r="L126" s="113"/>
      <c r="M126" s="113">
        <f>901/901*129680</f>
        <v>129680</v>
      </c>
      <c r="N126" s="99">
        <f>J126-M126</f>
        <v>0</v>
      </c>
      <c r="O126" s="3"/>
      <c r="P126" s="9"/>
      <c r="Q126" s="54">
        <f>4/4*175</f>
        <v>175</v>
      </c>
      <c r="R126" s="9"/>
      <c r="S126" s="9"/>
      <c r="T126" s="9"/>
      <c r="U126" s="9"/>
      <c r="V126" s="54">
        <f t="shared" si="34"/>
        <v>175</v>
      </c>
      <c r="W126" s="96" t="s">
        <v>16</v>
      </c>
      <c r="X126" s="15">
        <f>4/4*175000</f>
        <v>175000</v>
      </c>
      <c r="Y126" s="29">
        <f t="shared" si="35"/>
        <v>1</v>
      </c>
    </row>
    <row r="127" spans="1:25" s="11" customFormat="1" ht="12.75">
      <c r="A127" s="48" t="s">
        <v>102</v>
      </c>
      <c r="B127" s="64"/>
      <c r="C127" s="72">
        <f>5/5*140.8+12/12*239.9</f>
        <v>380.70000000000005</v>
      </c>
      <c r="D127" s="72"/>
      <c r="E127" s="73"/>
      <c r="F127" s="73"/>
      <c r="G127" s="72"/>
      <c r="H127" s="73">
        <f>SUM(B127:G127)</f>
        <v>380.70000000000005</v>
      </c>
      <c r="I127" s="3"/>
      <c r="J127" s="108">
        <f>6/6*140800+12/12*239900</f>
        <v>380700</v>
      </c>
      <c r="K127" s="29">
        <f t="shared" si="33"/>
        <v>0.9999999999999999</v>
      </c>
      <c r="L127" s="113"/>
      <c r="M127" s="113"/>
      <c r="N127" s="113"/>
      <c r="O127" s="3"/>
      <c r="P127" s="9"/>
      <c r="Q127" s="54">
        <f>5/5*140.8+239.9</f>
        <v>380.70000000000005</v>
      </c>
      <c r="R127" s="9"/>
      <c r="S127" s="9"/>
      <c r="T127" s="9"/>
      <c r="U127" s="9"/>
      <c r="V127" s="68">
        <f>SUM(P127:U127)</f>
        <v>380.70000000000005</v>
      </c>
      <c r="W127" s="96" t="s">
        <v>16</v>
      </c>
      <c r="X127" s="71">
        <f>5/5*140800+239900</f>
        <v>380700</v>
      </c>
      <c r="Y127" s="29">
        <f aca="true" t="shared" si="36" ref="Y127:Y134">X127/(V127*1000)</f>
        <v>0.9999999999999999</v>
      </c>
    </row>
    <row r="128" spans="1:27" ht="12.75">
      <c r="A128" s="48" t="s">
        <v>103</v>
      </c>
      <c r="C128" s="72">
        <f>5/5*87.5</f>
        <v>87.5</v>
      </c>
      <c r="H128" s="73">
        <f>SUM(B128:G128)</f>
        <v>87.5</v>
      </c>
      <c r="J128" s="108">
        <f>6/6*87500</f>
        <v>87500</v>
      </c>
      <c r="K128" s="29">
        <f t="shared" si="33"/>
        <v>1</v>
      </c>
      <c r="L128" s="113"/>
      <c r="M128" s="113"/>
      <c r="N128" s="113"/>
      <c r="O128" s="8"/>
      <c r="P128" s="9"/>
      <c r="Q128" s="54">
        <f>5/5*87.5</f>
        <v>87.5</v>
      </c>
      <c r="R128" s="9"/>
      <c r="S128" s="9"/>
      <c r="T128" s="9"/>
      <c r="U128" s="9"/>
      <c r="V128" s="68">
        <f>SUM(P128:U128)</f>
        <v>87.5</v>
      </c>
      <c r="W128" s="96" t="s">
        <v>16</v>
      </c>
      <c r="X128" s="71">
        <f>5/5*87500</f>
        <v>87500</v>
      </c>
      <c r="Y128" s="29">
        <f t="shared" si="36"/>
        <v>1</v>
      </c>
      <c r="Z128" s="11"/>
      <c r="AA128" s="8">
        <f>SUM(X127:X128)</f>
        <v>468200</v>
      </c>
    </row>
    <row r="129" spans="1:27" s="11" customFormat="1" ht="12.75">
      <c r="A129" s="48" t="s">
        <v>106</v>
      </c>
      <c r="B129" s="64"/>
      <c r="C129" s="72">
        <f>6/6*305.4</f>
        <v>305.4</v>
      </c>
      <c r="D129" s="72"/>
      <c r="E129" s="73"/>
      <c r="F129" s="73"/>
      <c r="G129" s="72"/>
      <c r="H129" s="72">
        <f t="shared" si="29"/>
        <v>305.4</v>
      </c>
      <c r="I129" s="3"/>
      <c r="J129" s="108">
        <f>(8/8+12/12)*152700</f>
        <v>305400</v>
      </c>
      <c r="K129" s="29">
        <f aca="true" t="shared" si="37" ref="K129:K134">J129/(H129*1000)</f>
        <v>1</v>
      </c>
      <c r="L129" s="113"/>
      <c r="M129" s="113"/>
      <c r="N129" s="113"/>
      <c r="O129" s="3"/>
      <c r="P129" s="9"/>
      <c r="Q129" s="54">
        <f>6/6*305.4</f>
        <v>305.4</v>
      </c>
      <c r="R129" s="9"/>
      <c r="S129" s="9"/>
      <c r="T129" s="9"/>
      <c r="U129" s="9"/>
      <c r="V129" s="68">
        <f t="shared" si="34"/>
        <v>305.4</v>
      </c>
      <c r="W129" s="96" t="s">
        <v>16</v>
      </c>
      <c r="X129" s="8">
        <f>V129/(2-10/10)*1000</f>
        <v>305400</v>
      </c>
      <c r="Y129" s="29">
        <f t="shared" si="36"/>
        <v>1</v>
      </c>
      <c r="Z129" s="125"/>
      <c r="AA129" s="125"/>
    </row>
    <row r="130" spans="1:27" s="11" customFormat="1" ht="12.75">
      <c r="A130" s="48" t="s">
        <v>107</v>
      </c>
      <c r="B130" s="64"/>
      <c r="C130" s="72">
        <f>6/6*401.5</f>
        <v>401.5</v>
      </c>
      <c r="D130" s="72"/>
      <c r="E130" s="73"/>
      <c r="F130" s="73"/>
      <c r="G130" s="72"/>
      <c r="H130" s="72">
        <f t="shared" si="29"/>
        <v>401.5</v>
      </c>
      <c r="I130" s="3"/>
      <c r="J130" s="108">
        <f>(8/8+12/12)*200800+12/12*-100</f>
        <v>401500</v>
      </c>
      <c r="K130" s="29">
        <f t="shared" si="37"/>
        <v>1</v>
      </c>
      <c r="L130" s="113"/>
      <c r="M130" s="113"/>
      <c r="N130" s="113"/>
      <c r="O130" s="8"/>
      <c r="P130" s="9"/>
      <c r="Q130" s="54">
        <f>6/6*401.5</f>
        <v>401.5</v>
      </c>
      <c r="R130" s="9"/>
      <c r="S130" s="9"/>
      <c r="T130" s="9"/>
      <c r="U130" s="9"/>
      <c r="V130" s="68">
        <f t="shared" si="34"/>
        <v>401.5</v>
      </c>
      <c r="W130" s="96" t="s">
        <v>16</v>
      </c>
      <c r="X130" s="8">
        <f>V130/(2-10/10)*1000+50*0</f>
        <v>401500</v>
      </c>
      <c r="Y130" s="29">
        <f t="shared" si="36"/>
        <v>1</v>
      </c>
      <c r="Z130" s="125"/>
      <c r="AA130" s="125"/>
    </row>
    <row r="131" spans="1:27" ht="12.75">
      <c r="A131" s="48" t="s">
        <v>108</v>
      </c>
      <c r="C131" s="72">
        <f>6/6*77</f>
        <v>77</v>
      </c>
      <c r="H131" s="72">
        <f t="shared" si="29"/>
        <v>77</v>
      </c>
      <c r="J131" s="108">
        <f>(8/8+12/12)*38500</f>
        <v>77000</v>
      </c>
      <c r="K131" s="29">
        <f t="shared" si="37"/>
        <v>1</v>
      </c>
      <c r="L131" s="113"/>
      <c r="M131" s="113"/>
      <c r="N131" s="113"/>
      <c r="P131" s="9"/>
      <c r="Q131" s="54">
        <f>6/6*77</f>
        <v>77</v>
      </c>
      <c r="R131" s="9"/>
      <c r="S131" s="9"/>
      <c r="T131" s="9"/>
      <c r="U131" s="9"/>
      <c r="V131" s="68">
        <f t="shared" si="34"/>
        <v>77</v>
      </c>
      <c r="W131" s="96" t="s">
        <v>16</v>
      </c>
      <c r="X131" s="8">
        <f>V131/(2-10/10)*1000</f>
        <v>77000</v>
      </c>
      <c r="Y131" s="29">
        <f t="shared" si="36"/>
        <v>1</v>
      </c>
      <c r="Z131" s="125"/>
      <c r="AA131" s="8">
        <f>SUM(X129:X131)</f>
        <v>783900</v>
      </c>
    </row>
    <row r="132" spans="1:25" s="11" customFormat="1" ht="24">
      <c r="A132" s="48" t="s">
        <v>110</v>
      </c>
      <c r="B132" s="64"/>
      <c r="C132" s="72">
        <f>6/6*5000</f>
        <v>5000</v>
      </c>
      <c r="D132" s="72"/>
      <c r="E132" s="73"/>
      <c r="F132" s="73"/>
      <c r="G132" s="72"/>
      <c r="H132" s="72">
        <f t="shared" si="29"/>
        <v>5000</v>
      </c>
      <c r="I132" s="3"/>
      <c r="J132" s="8">
        <f>(7/7*72000+9/9*(5760+11400))*0+12/12*(5815991-16/16*815991)</f>
        <v>5000000</v>
      </c>
      <c r="K132" s="29">
        <f t="shared" si="37"/>
        <v>1</v>
      </c>
      <c r="L132" s="8" t="s">
        <v>127</v>
      </c>
      <c r="M132" s="99"/>
      <c r="N132" s="99"/>
      <c r="O132" s="8"/>
      <c r="P132" s="9"/>
      <c r="Q132" s="54">
        <f>6/6*5000</f>
        <v>5000</v>
      </c>
      <c r="R132" s="9"/>
      <c r="S132" s="9"/>
      <c r="T132" s="9"/>
      <c r="U132" s="9"/>
      <c r="V132" s="68">
        <f t="shared" si="34"/>
        <v>5000</v>
      </c>
      <c r="W132" s="96" t="s">
        <v>16</v>
      </c>
      <c r="X132" s="15">
        <f>7/7*5000000</f>
        <v>5000000</v>
      </c>
      <c r="Y132" s="29">
        <f t="shared" si="36"/>
        <v>1</v>
      </c>
    </row>
    <row r="133" spans="1:25" s="11" customFormat="1" ht="12.75">
      <c r="A133" s="48" t="s">
        <v>111</v>
      </c>
      <c r="B133" s="64"/>
      <c r="C133" s="72">
        <f>6/6*5000</f>
        <v>5000</v>
      </c>
      <c r="D133" s="72"/>
      <c r="E133" s="73"/>
      <c r="F133" s="73"/>
      <c r="G133" s="72"/>
      <c r="H133" s="72">
        <f t="shared" si="29"/>
        <v>5000</v>
      </c>
      <c r="I133" s="3"/>
      <c r="J133" s="8">
        <f>10/10*403692*0+11/11*1092819*0+12/12*2292429.2</f>
        <v>2292429.2</v>
      </c>
      <c r="K133" s="29">
        <f t="shared" si="37"/>
        <v>0.45848584000000003</v>
      </c>
      <c r="L133" s="113"/>
      <c r="M133" s="113"/>
      <c r="N133" s="113"/>
      <c r="O133" s="3"/>
      <c r="P133" s="9"/>
      <c r="Q133" s="54">
        <f>6/6*5000</f>
        <v>5000</v>
      </c>
      <c r="R133" s="9"/>
      <c r="S133" s="9"/>
      <c r="T133" s="9"/>
      <c r="U133" s="9"/>
      <c r="V133" s="68">
        <f t="shared" si="34"/>
        <v>5000</v>
      </c>
      <c r="W133" s="96" t="s">
        <v>16</v>
      </c>
      <c r="X133" s="15">
        <f>7/7*5000000</f>
        <v>5000000</v>
      </c>
      <c r="Y133" s="29">
        <f t="shared" si="36"/>
        <v>1</v>
      </c>
    </row>
    <row r="134" spans="1:25" s="11" customFormat="1" ht="12.75">
      <c r="A134" s="48" t="s">
        <v>112</v>
      </c>
      <c r="B134" s="64"/>
      <c r="C134" s="72">
        <f>7/7*125</f>
        <v>125</v>
      </c>
      <c r="D134" s="72"/>
      <c r="E134" s="73"/>
      <c r="F134" s="73"/>
      <c r="G134" s="72"/>
      <c r="H134" s="72">
        <f>SUM(B134:G134)</f>
        <v>125</v>
      </c>
      <c r="I134" s="3"/>
      <c r="J134" s="15">
        <f>7/7*81/81*(10000+37/37*10000+(25000*0+8/8*28000)+17000+60000)</f>
        <v>125000</v>
      </c>
      <c r="K134" s="29">
        <f t="shared" si="37"/>
        <v>1</v>
      </c>
      <c r="L134" s="113"/>
      <c r="M134" s="113"/>
      <c r="N134" s="113"/>
      <c r="O134" s="8"/>
      <c r="P134" s="9"/>
      <c r="Q134" s="54">
        <f>7/7*125</f>
        <v>125</v>
      </c>
      <c r="R134" s="54"/>
      <c r="S134" s="59"/>
      <c r="T134" s="59"/>
      <c r="U134" s="54"/>
      <c r="V134" s="54">
        <f>SUM(P134:U134)</f>
        <v>125</v>
      </c>
      <c r="W134" s="3"/>
      <c r="X134" s="15">
        <f>7/7*81/81*125000</f>
        <v>125000</v>
      </c>
      <c r="Y134" s="29">
        <f t="shared" si="36"/>
        <v>1</v>
      </c>
    </row>
    <row r="135" spans="1:25" s="11" customFormat="1" ht="12.75" hidden="1">
      <c r="A135" s="48"/>
      <c r="B135" s="64"/>
      <c r="C135" s="72"/>
      <c r="D135" s="72"/>
      <c r="E135" s="73"/>
      <c r="F135" s="73"/>
      <c r="G135" s="72"/>
      <c r="H135" s="72">
        <f t="shared" si="29"/>
        <v>0</v>
      </c>
      <c r="I135" s="3"/>
      <c r="J135" s="8"/>
      <c r="K135" s="29"/>
      <c r="L135" s="99"/>
      <c r="M135" s="99"/>
      <c r="N135" s="99"/>
      <c r="O135" s="8"/>
      <c r="P135" s="9"/>
      <c r="Q135" s="9"/>
      <c r="R135" s="9"/>
      <c r="S135" s="9"/>
      <c r="T135" s="9"/>
      <c r="U135" s="9"/>
      <c r="V135" s="54">
        <f t="shared" si="34"/>
        <v>0</v>
      </c>
      <c r="W135" s="96" t="s">
        <v>16</v>
      </c>
      <c r="X135" s="15"/>
      <c r="Y135" s="29"/>
    </row>
    <row r="136" spans="1:27" ht="12.75">
      <c r="A136" s="83" t="s">
        <v>20</v>
      </c>
      <c r="B136" s="134">
        <f>SUM(B108:B135)</f>
        <v>0</v>
      </c>
      <c r="C136" s="135">
        <f>SUM(C108:C135)</f>
        <v>51907.1</v>
      </c>
      <c r="D136" s="135">
        <f>SUM(D108:D135)</f>
        <v>0</v>
      </c>
      <c r="E136" s="135">
        <f>SUM(E108:E135)</f>
        <v>0</v>
      </c>
      <c r="F136" s="135">
        <f>SUM(F108:F135)</f>
        <v>0</v>
      </c>
      <c r="G136" s="135"/>
      <c r="H136" s="135">
        <f>SUM(H108:H135)</f>
        <v>51907.1</v>
      </c>
      <c r="I136" s="136"/>
      <c r="J136" s="137">
        <f>SUM(J108:J135)</f>
        <v>48394977.980000004</v>
      </c>
      <c r="K136" s="138">
        <f>J136/(H136*1000)</f>
        <v>0.9323383117145825</v>
      </c>
      <c r="L136" s="142"/>
      <c r="M136" s="142"/>
      <c r="N136" s="142"/>
      <c r="O136" s="50"/>
      <c r="P136" s="135">
        <f aca="true" t="shared" si="38" ref="P136:V136">SUM(P108:P135)</f>
        <v>0</v>
      </c>
      <c r="Q136" s="135">
        <f t="shared" si="38"/>
        <v>51907.1</v>
      </c>
      <c r="R136" s="135">
        <f t="shared" si="38"/>
        <v>0</v>
      </c>
      <c r="S136" s="135">
        <f t="shared" si="38"/>
        <v>0</v>
      </c>
      <c r="T136" s="135">
        <f t="shared" si="38"/>
        <v>0</v>
      </c>
      <c r="U136" s="135">
        <f t="shared" si="38"/>
        <v>0</v>
      </c>
      <c r="V136" s="135">
        <f t="shared" si="38"/>
        <v>51907.1</v>
      </c>
      <c r="W136" s="136"/>
      <c r="X136" s="139">
        <f>SUM(X108:X119,X121:X135)</f>
        <v>51707203</v>
      </c>
      <c r="Y136" s="138">
        <f>X136/(V136*1000)</f>
        <v>0.9961489468685402</v>
      </c>
      <c r="Z136" s="140"/>
      <c r="AA136" s="141">
        <f>47021.3-99/99*5109.1-V136+(43790452.76-5109149.76)-X136</f>
        <v>-13035894.899999999</v>
      </c>
    </row>
    <row r="137" spans="1:25" s="11" customFormat="1" ht="12.75">
      <c r="A137" s="48"/>
      <c r="B137" s="64"/>
      <c r="C137" s="72">
        <f>40322.2*0+9/9*41922.2*0+10/10*47021.3*0+11/11*56713.3*0+12/12*57016.2-5109.1-C136</f>
        <v>0</v>
      </c>
      <c r="D137" s="72"/>
      <c r="E137" s="73"/>
      <c r="F137" s="73"/>
      <c r="G137" s="72"/>
      <c r="H137" s="42">
        <f>(40322.2*0+9/9*41922.2*0+10/10*47021.3+11/11*(8392+800+500)+12/12*(663-600+3113/3113*239.9)-5109.1)-H136</f>
        <v>0</v>
      </c>
      <c r="I137" s="3"/>
      <c r="J137" s="42">
        <f>(2/2*3626110*0+3/3*5705950*0+4/4*8315275*0+5/5*11438493*0+6/6*14835846*0+7/7*(16944448+72000)*0+8/8*(20693655*0+9/9*(23001378+(72000+9/9*11400))*0+10/10*28434308*0+11/11*34400829.5*0+12/12*53504127.74-99/99*(675116*0+9/9*862540*0+10/10*2603218*0+11/11*4248306.5*0+12/12*5109149.76)))-J136</f>
        <v>0</v>
      </c>
      <c r="K137" s="29"/>
      <c r="L137" s="99"/>
      <c r="M137" s="99"/>
      <c r="N137" s="99"/>
      <c r="O137" s="8"/>
      <c r="P137" s="6"/>
      <c r="Q137" s="6"/>
      <c r="R137" s="6"/>
      <c r="S137" s="6"/>
      <c r="T137" s="6"/>
      <c r="U137" s="6"/>
      <c r="V137" s="42">
        <f>1/1*18100+3/3*(398.8+215.2)+4/4*(4000+45+175)+5/5*(398.8+164.2+53.8+50+45+140.8+87.5)+6/6*((305.4+401.5+77)+2*5000+32)+7/7*(5109.1*0*16/16+398.1+125)+9/9*1600+10/10*(3819+882+398.1)+11/11*(8392+500+800+239.9)+12/12*(663-600)-V136</f>
        <v>0</v>
      </c>
      <c r="W137" s="2"/>
      <c r="X137" s="42">
        <f>3900000*0+3/3*6819022*0+4/4*13902421*0+5/5*16669343*0+6/6*18803343*0+7/7*32027473*0+8/8*(39182622.76*0+9/9*41347622.76*0+10/10*43790452.76*0+11/11*(218137839.73-98551934.24)*0+12/12*(56816352.76-0)-99/99*5109149.76)-X136</f>
        <v>0</v>
      </c>
      <c r="Y137" s="29"/>
    </row>
    <row r="138" spans="1:27" ht="12.75">
      <c r="A138" s="83" t="s">
        <v>22</v>
      </c>
      <c r="B138" s="74">
        <f>B104+B136</f>
        <v>85623</v>
      </c>
      <c r="C138" s="74">
        <f>C104+C136</f>
        <v>57016.2</v>
      </c>
      <c r="D138" s="74">
        <f>D104+D136</f>
        <v>1072</v>
      </c>
      <c r="E138" s="75">
        <f>E104+E136</f>
        <v>133</v>
      </c>
      <c r="F138" s="41">
        <f>F104+F136</f>
        <v>-8574.3</v>
      </c>
      <c r="G138" s="41"/>
      <c r="H138" s="41">
        <f>H104+H136</f>
        <v>135269.9</v>
      </c>
      <c r="I138" s="126"/>
      <c r="J138" s="56">
        <f>J104+J136</f>
        <v>135263858.34000003</v>
      </c>
      <c r="K138" s="57">
        <f>J138/(H138*1000)</f>
        <v>0.9999553362573642</v>
      </c>
      <c r="L138" s="127"/>
      <c r="M138" s="97"/>
      <c r="N138" s="97"/>
      <c r="O138" s="8"/>
      <c r="P138" s="128">
        <f aca="true" t="shared" si="39" ref="P138:V138">P104+P136</f>
        <v>85426.2</v>
      </c>
      <c r="Q138" s="128">
        <f t="shared" si="39"/>
        <v>57016.2</v>
      </c>
      <c r="R138" s="128">
        <f t="shared" si="39"/>
        <v>1072</v>
      </c>
      <c r="S138" s="128">
        <f t="shared" si="39"/>
        <v>133</v>
      </c>
      <c r="T138" s="128">
        <f t="shared" si="39"/>
        <v>-8574.3</v>
      </c>
      <c r="U138" s="128">
        <f t="shared" si="39"/>
        <v>0</v>
      </c>
      <c r="V138" s="128">
        <f t="shared" si="39"/>
        <v>135073.1</v>
      </c>
      <c r="W138" s="101"/>
      <c r="X138" s="129">
        <f>X104+X136</f>
        <v>134427950.31</v>
      </c>
      <c r="Y138" s="57">
        <f>X138/(V138*1000)</f>
        <v>0.9952236996855777</v>
      </c>
      <c r="Z138" s="11"/>
      <c r="AA138" s="15">
        <f>(128553.4*0+10/10*133652.5-2010/2010*-643.7-V138-1110.6)*0+(96894841.47*0+10/10*103967765.97-X138+6989.28*0+10/10*1000)</f>
        <v>-30459184.340000004</v>
      </c>
    </row>
    <row r="139" spans="1:27" s="11" customFormat="1" ht="12.75">
      <c r="A139" s="48"/>
      <c r="B139" s="130">
        <f>189711-104088-B138</f>
        <v>0</v>
      </c>
      <c r="C139" s="49">
        <f>85623*0+6/6*34690+7/7*(125+5109.1+398.1)+9/9*1600+10/10*(3819+398.1+882)+11/11*(8392+800+500)+12/12*(663-600+239.9)-C138-H138*0</f>
        <v>0</v>
      </c>
      <c r="D139" s="6"/>
      <c r="E139" s="34">
        <f>B138+3/3*((C138-16325.3)-111820.8*0)*0+6/6*((C138-5427.8)-122979.3*0)*0+C138+D138+E138-139206*0</f>
        <v>143844.2</v>
      </c>
      <c r="F139" s="7"/>
      <c r="G139" s="6"/>
      <c r="H139" s="42">
        <f>(85623+1/1*3/3*18100+(398.8+215.2)+4/4*(4000+45+175)+5/5*(398.8+164.2+53.8+50+45+140.8+87.5)+6/6*(305.4+401.5+77+5000*2+32+16/16*1072)+7/7*(99/99*5109.1+(1195.7-398.8*2)+125)+9/9*(16/16*967.2+1600)+10/10*(398.1+3819+882)+11/11*(8392+800+500)-108557*0+12/12*(663-600+239.9+16/16*-8574.3))-H138</f>
        <v>834.2000000000116</v>
      </c>
      <c r="I139" s="50"/>
      <c r="J139" s="42">
        <f>(24710739.92-13055969.12)*0+3/3*(47757768.9-23373513.12)*0+4/4*(63824550.59-32995189.19)*0+5/5*(78878045.61-37987919.82)*0+6/6*(102431671.73-49052419.82)*0+7/7*(117504542.61-56521981.51)*0+8/8*(131664955.4-63381589.51)*0+9/9*(166681251.56-81676853.51)*0+10/10*(184026284.95-90240882.24)*0+11/11*(206309960.08-98551934.24)*0+12/12*(259778974.17-(121015115.83+5343/5343*3500000))-J138</f>
        <v>0</v>
      </c>
      <c r="K139" s="57">
        <f>J138/(B138*1000)</f>
        <v>1.5797607925440598</v>
      </c>
      <c r="L139" s="57"/>
      <c r="M139" s="131"/>
      <c r="N139" s="131"/>
      <c r="O139" s="8"/>
      <c r="P139" s="49">
        <f>P138-B138</f>
        <v>-196.8000000000029</v>
      </c>
      <c r="Q139" s="49">
        <f>Q138-C138</f>
        <v>0</v>
      </c>
      <c r="R139" s="34"/>
      <c r="S139" s="34"/>
      <c r="T139" s="34"/>
      <c r="U139" s="7"/>
      <c r="V139" s="34"/>
      <c r="W139" s="3"/>
      <c r="X139" s="8">
        <f>(X105+X107+X120)*0+X138-J138</f>
        <v>-835908.030000031</v>
      </c>
      <c r="Y139" s="57">
        <f>X138/(P138*1000)</f>
        <v>1.5736150069884884</v>
      </c>
      <c r="AA139" s="57" t="s">
        <v>115</v>
      </c>
    </row>
    <row r="140" spans="2:24" ht="12.75">
      <c r="B140" s="1"/>
      <c r="C140" s="1"/>
      <c r="D140" s="1"/>
      <c r="E140" s="1"/>
      <c r="F140" s="1"/>
      <c r="G140" s="1"/>
      <c r="H140" s="1"/>
      <c r="I140" s="1"/>
      <c r="J140" s="8">
        <f>J139-J105</f>
        <v>0</v>
      </c>
      <c r="V140" s="42">
        <f>(85623-18465*0+1/1*18100+3/3*(398.8+215.2)+4/4*(4000+45+175)+5/5*(398.8+164.2+53.8+50+45+140.8+87.5)+6/6*((305.4+401.5+77)+2*5000+32+16/16*1072)+7/7*(5109.1+398.1+125)+11/11*(8392+800+500)+12/12*(633-600))-V138</f>
        <v>1669.1000000000058</v>
      </c>
      <c r="X140" s="42">
        <f>(25511444.64-13055969.12)*0+3/3*(48306525.68-23373513.12)*0+4/4*(69204104-32995189.19)*0+5/5*(81685792.26-37987919.82)*0+6/6*(102716258.75-49052419.82)*0+7/7*(130915015.94-56521981.51)*0+8/8*(151917890.7-63381589.51)*0+9/9*(178571694.98-81676853.51)*0+10/10*(194208648.21-90240882.24)*0+11/11*(218137839.73-98551934.24)*0+12/12*(258943066.14-124515115.83)-X138</f>
        <v>0</v>
      </c>
    </row>
    <row r="141" spans="3:25" ht="12.75">
      <c r="C141" s="1"/>
      <c r="D141" s="6"/>
      <c r="E141" s="7"/>
      <c r="F141" s="7"/>
      <c r="G141" s="6"/>
      <c r="H141" s="1"/>
      <c r="V141" s="60" t="s">
        <v>35</v>
      </c>
      <c r="W141" s="50"/>
      <c r="X141" s="42">
        <f>X138-J138</f>
        <v>-835908.030000031</v>
      </c>
      <c r="Y141" s="8">
        <f>X141-J139</f>
        <v>-835908.030000031</v>
      </c>
    </row>
    <row r="142" spans="8:24" ht="12.75">
      <c r="H142" s="1"/>
      <c r="S142" s="8" t="s">
        <v>119</v>
      </c>
      <c r="V142" s="76">
        <f>V138-H138</f>
        <v>-196.79999999998836</v>
      </c>
      <c r="W142" s="132"/>
      <c r="X142" s="42">
        <f>2/2*800704.72*0+4/4*5379553.41*0+5/5*2807746.65*0+6/6*284587.02*0+7/7*13410473.33*0+8/8*(10252935.3+10000000)-X141</f>
        <v>21088843.33000003</v>
      </c>
    </row>
    <row r="143" spans="8:24" ht="12.75">
      <c r="H143" s="1"/>
      <c r="V143" s="77" t="s">
        <v>76</v>
      </c>
      <c r="W143" s="132"/>
      <c r="X143" s="8">
        <f>X141*0+X105-(AA120+AA121+AA116)*0</f>
        <v>-4148133.050000012</v>
      </c>
    </row>
    <row r="144" spans="8:27" ht="12.75">
      <c r="H144" s="1"/>
      <c r="S144" s="133"/>
      <c r="T144" s="133"/>
      <c r="U144" s="133"/>
      <c r="V144" s="77" t="s">
        <v>91</v>
      </c>
      <c r="W144" s="26"/>
      <c r="X144" s="8">
        <f>(X143-X105)*0+X136-J136</f>
        <v>3312225.019999996</v>
      </c>
      <c r="Y144" s="33"/>
      <c r="Z144" s="27"/>
      <c r="AA144" s="27"/>
    </row>
    <row r="145" spans="22:24" ht="12.75">
      <c r="V145" s="77" t="s">
        <v>116</v>
      </c>
      <c r="X145" s="8">
        <f>X143+X144</f>
        <v>-835908.0300000161</v>
      </c>
    </row>
  </sheetData>
  <sheetProtection password="CC4F" sheet="1" objects="1" scenarios="1"/>
  <mergeCells count="7">
    <mergeCell ref="B1:K1"/>
    <mergeCell ref="P1:Y1"/>
    <mergeCell ref="C2:H2"/>
    <mergeCell ref="L68:L69"/>
    <mergeCell ref="J3:K3"/>
    <mergeCell ref="X3:Y3"/>
    <mergeCell ref="Q2:V2"/>
  </mergeCells>
  <printOptions gridLines="1"/>
  <pageMargins left="0.1968503937007874" right="0" top="0.3937007874015748" bottom="0.3937007874015748" header="0.1968503937007874" footer="0.31496062992125984"/>
  <pageSetup horizontalDpi="600" verticalDpi="600" orientation="landscape" paperSize="9" scale="65" r:id="rId1"/>
  <headerFooter alignWithMargins="0">
    <oddHeader xml:space="preserve">&amp;L&amp;"Arial,tučné kurzíva"&amp;11Hospodaření MČ 1-12/2011&amp;R&amp;"Arial,tučné kurzíva"&amp;8ZMČ 20.06.2012 příl 2a  </oddHeader>
    <oddFooter>&amp;L&amp;F&amp;R&amp;P</oddFooter>
  </headerFooter>
  <rowBreaks count="2" manualBreakCount="2">
    <brk id="55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Tišlová Marta</cp:lastModifiedBy>
  <cp:lastPrinted>2014-04-17T06:56:10Z</cp:lastPrinted>
  <dcterms:created xsi:type="dcterms:W3CDTF">2009-11-29T19:02:18Z</dcterms:created>
  <dcterms:modified xsi:type="dcterms:W3CDTF">2014-04-17T06:56:40Z</dcterms:modified>
  <cp:category/>
  <cp:version/>
  <cp:contentType/>
  <cp:contentStatus/>
</cp:coreProperties>
</file>