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395" windowHeight="6690" activeTab="0"/>
  </bookViews>
  <sheets>
    <sheet name="Hosp MČ SR UR skut 1 až 12 2009" sheetId="1" r:id="rId1"/>
  </sheets>
  <definedNames>
    <definedName name="_xlnm.Print_Titles" localSheetId="0">'Hosp MČ SR UR skut 1 až 12 2009'!$A:$C,'Hosp MČ SR UR skut 1 až 12 2009'!$1:$2</definedName>
  </definedNames>
  <calcPr fullCalcOnLoad="1"/>
</workbook>
</file>

<file path=xl/sharedStrings.xml><?xml version="1.0" encoding="utf-8"?>
<sst xmlns="http://schemas.openxmlformats.org/spreadsheetml/2006/main" count="281" uniqueCount="226">
  <si>
    <t>soc-zdrav</t>
  </si>
  <si>
    <t>příspěvek na péči</t>
  </si>
  <si>
    <t>školství</t>
  </si>
  <si>
    <t>úprava rozpočtu</t>
  </si>
  <si>
    <t>sběrný dvůr</t>
  </si>
  <si>
    <t>upravený rozpočet</t>
  </si>
  <si>
    <t>komunikace</t>
  </si>
  <si>
    <t>Mateřská škola</t>
  </si>
  <si>
    <t>Základní škola</t>
  </si>
  <si>
    <t>Školní jídelna</t>
  </si>
  <si>
    <t>ZUŠ</t>
  </si>
  <si>
    <t>prevence</t>
  </si>
  <si>
    <t>4174-99</t>
  </si>
  <si>
    <t>dávky soc. péče</t>
  </si>
  <si>
    <t>dům s peč.sl</t>
  </si>
  <si>
    <t xml:space="preserve">nový dům s peč. sl </t>
  </si>
  <si>
    <t>peč. služba</t>
  </si>
  <si>
    <t>péče</t>
  </si>
  <si>
    <t>soc. právní ochrana dětí</t>
  </si>
  <si>
    <t>kultura</t>
  </si>
  <si>
    <t>kino</t>
  </si>
  <si>
    <t>knihovna</t>
  </si>
  <si>
    <t>kult.střed</t>
  </si>
  <si>
    <t>bezpečnost</t>
  </si>
  <si>
    <t>JSDH</t>
  </si>
  <si>
    <t>JSDH účel</t>
  </si>
  <si>
    <t>hospodářství</t>
  </si>
  <si>
    <t>Domovní správa</t>
  </si>
  <si>
    <t>Techn. služby</t>
  </si>
  <si>
    <t>správa</t>
  </si>
  <si>
    <t>ZMČ</t>
  </si>
  <si>
    <t>V Ý D A J E</t>
  </si>
  <si>
    <t>P Ř Í J M Y</t>
  </si>
  <si>
    <t>stát DSP</t>
  </si>
  <si>
    <t>DPPO</t>
  </si>
  <si>
    <t>nahod</t>
  </si>
  <si>
    <t>úroky</t>
  </si>
  <si>
    <t>FV 2006</t>
  </si>
  <si>
    <t>UZ 13306</t>
  </si>
  <si>
    <t>UZ 13235</t>
  </si>
  <si>
    <t>MP 1341-5,7</t>
  </si>
  <si>
    <t>Gymnasium</t>
  </si>
  <si>
    <t>Noviny P 16</t>
  </si>
  <si>
    <t>čp. 21</t>
  </si>
  <si>
    <t>čp. 23</t>
  </si>
  <si>
    <t>čp. 732</t>
  </si>
  <si>
    <t>čp. 1379</t>
  </si>
  <si>
    <t xml:space="preserve"> TS objekt, služby</t>
  </si>
  <si>
    <t>infrastr</t>
  </si>
  <si>
    <t>2210 sankce:</t>
  </si>
  <si>
    <t>2321 neinv.dary:</t>
  </si>
  <si>
    <t>2322 poj.plnění:</t>
  </si>
  <si>
    <t>2343 dobýv.:</t>
  </si>
  <si>
    <t>SprPopl 1361:</t>
  </si>
  <si>
    <t>DzN:</t>
  </si>
  <si>
    <t>4121 HMP:</t>
  </si>
  <si>
    <t>4131 ekon:čin</t>
  </si>
  <si>
    <t>nyní 4351/1</t>
  </si>
  <si>
    <t>nyní 4351/2</t>
  </si>
  <si>
    <t>nyní 4351</t>
  </si>
  <si>
    <t>nyní 3639</t>
  </si>
  <si>
    <t>výsledek</t>
  </si>
  <si>
    <t xml:space="preserve"> V Ý D A J E</t>
  </si>
  <si>
    <t xml:space="preserve"> P Ř Í J M Y</t>
  </si>
  <si>
    <t>hřbit.popl ÚMČ</t>
  </si>
  <si>
    <t>Účelové prostředky poskytnuté státem nebo HMP:</t>
  </si>
  <si>
    <t>VÝDAJE  účel. prostř</t>
  </si>
  <si>
    <t>VÝDAJE  c e l k e m</t>
  </si>
  <si>
    <t>PŘÍJMY účel. prostř</t>
  </si>
  <si>
    <t>PŘÍJMY  c e l k e m</t>
  </si>
  <si>
    <t>výsledek účel. prostř</t>
  </si>
  <si>
    <t>výsledek  c e l k e m</t>
  </si>
  <si>
    <t xml:space="preserve"> </t>
  </si>
  <si>
    <t xml:space="preserve"> 00081</t>
  </si>
  <si>
    <t>HMP účel</t>
  </si>
  <si>
    <t xml:space="preserve"> 13306</t>
  </si>
  <si>
    <t xml:space="preserve"> 13235</t>
  </si>
  <si>
    <t>stát účel</t>
  </si>
  <si>
    <t>agenda soc. služeb</t>
  </si>
  <si>
    <t>agenda soc. právní ochrana dětí</t>
  </si>
  <si>
    <t xml:space="preserve"> 98216</t>
  </si>
  <si>
    <t xml:space="preserve"> 98116</t>
  </si>
  <si>
    <t xml:space="preserve"> 02/ 3722</t>
  </si>
  <si>
    <t xml:space="preserve"> 04/ 3113</t>
  </si>
  <si>
    <t xml:space="preserve"> 05/ 3541</t>
  </si>
  <si>
    <t xml:space="preserve"> 06/ 3314</t>
  </si>
  <si>
    <t>Knihovna knihy</t>
  </si>
  <si>
    <t>sociální služby</t>
  </si>
  <si>
    <t xml:space="preserve"> 09/6171</t>
  </si>
  <si>
    <t>ZOZ</t>
  </si>
  <si>
    <t>viz HMP účel</t>
  </si>
  <si>
    <t>viz stát účel</t>
  </si>
  <si>
    <t>mzdy st.správy</t>
  </si>
  <si>
    <r>
      <t xml:space="preserve">péče o důchodce </t>
    </r>
    <r>
      <rPr>
        <sz val="7"/>
        <rFont val="Arial CE"/>
        <family val="2"/>
      </rPr>
      <t>balíčky atd</t>
    </r>
  </si>
  <si>
    <r>
      <t xml:space="preserve">  4351     </t>
    </r>
    <r>
      <rPr>
        <sz val="7"/>
        <rFont val="Arial CE"/>
        <family val="2"/>
      </rPr>
      <t>4314</t>
    </r>
  </si>
  <si>
    <r>
      <t xml:space="preserve"> 4351/1    </t>
    </r>
    <r>
      <rPr>
        <sz val="7"/>
        <rFont val="Arial CE"/>
        <family val="2"/>
      </rPr>
      <t>4312</t>
    </r>
  </si>
  <si>
    <r>
      <t xml:space="preserve">SFZ </t>
    </r>
    <r>
      <rPr>
        <sz val="7"/>
        <rFont val="Arial CE"/>
        <family val="2"/>
      </rPr>
      <t>tvorba 3%</t>
    </r>
  </si>
  <si>
    <r>
      <t xml:space="preserve"> 4351/2    </t>
    </r>
    <r>
      <rPr>
        <sz val="7"/>
        <rFont val="Arial CE"/>
        <family val="2"/>
      </rPr>
      <t xml:space="preserve"> 4312/1</t>
    </r>
  </si>
  <si>
    <t>do ekonomické činnosti</t>
  </si>
  <si>
    <t>stav po odečtu EČ</t>
  </si>
  <si>
    <t>předpoklad 31.12.2007</t>
  </si>
  <si>
    <t>dokončení  akce</t>
  </si>
  <si>
    <t>předpoklad 11,12/2007</t>
  </si>
  <si>
    <t xml:space="preserve"> viz ORJ, PO</t>
  </si>
  <si>
    <r>
      <t>4375</t>
    </r>
    <r>
      <rPr>
        <sz val="8"/>
        <rFont val="Arial CE"/>
        <family val="2"/>
      </rPr>
      <t xml:space="preserve">     4329  .</t>
    </r>
  </si>
  <si>
    <r>
      <t xml:space="preserve">3319 </t>
    </r>
    <r>
      <rPr>
        <strike/>
        <sz val="6"/>
        <rFont val="Arial CE"/>
        <family val="2"/>
      </rPr>
      <t>3314</t>
    </r>
  </si>
  <si>
    <r>
      <t xml:space="preserve">dotace stát </t>
    </r>
    <r>
      <rPr>
        <sz val="7"/>
        <rFont val="Arial CE"/>
        <family val="2"/>
      </rPr>
      <t xml:space="preserve">obyv MČ  </t>
    </r>
    <r>
      <rPr>
        <i/>
        <sz val="7"/>
        <rFont val="Arial CE"/>
        <family val="2"/>
      </rPr>
      <t>15,30</t>
    </r>
    <r>
      <rPr>
        <sz val="7"/>
        <rFont val="Arial CE"/>
        <family val="2"/>
      </rPr>
      <t xml:space="preserve"> obyv SO </t>
    </r>
    <r>
      <rPr>
        <i/>
        <sz val="7"/>
        <rFont val="Arial CE"/>
        <family val="2"/>
      </rPr>
      <t>417,90</t>
    </r>
  </si>
  <si>
    <t>výsledek vlastní prostř</t>
  </si>
  <si>
    <t>ROZVOJ OBCE</t>
  </si>
  <si>
    <t>INFRASTR</t>
  </si>
  <si>
    <t>ŠKOLSTVÍ</t>
  </si>
  <si>
    <t>SOC-ZDRAV</t>
  </si>
  <si>
    <t>KULTURA</t>
  </si>
  <si>
    <t>BEZPEČNOST</t>
  </si>
  <si>
    <t>HOSPODÁŘSTVÍ</t>
  </si>
  <si>
    <t>VNITŘ. SPRÁVA</t>
  </si>
  <si>
    <t>2141 úroky</t>
  </si>
  <si>
    <t>mzdy samospráva:</t>
  </si>
  <si>
    <t>xxxxx / 4787</t>
  </si>
  <si>
    <t xml:space="preserve"> 03/2212</t>
  </si>
  <si>
    <r>
      <t>715</t>
    </r>
    <r>
      <rPr>
        <sz val="7"/>
        <rFont val="Arial CE"/>
        <family val="2"/>
      </rPr>
      <t xml:space="preserve"> kron </t>
    </r>
    <r>
      <rPr>
        <sz val="8"/>
        <rFont val="Arial CE"/>
        <family val="2"/>
      </rPr>
      <t>716</t>
    </r>
    <r>
      <rPr>
        <sz val="7"/>
        <rFont val="Arial CE"/>
        <family val="2"/>
      </rPr>
      <t xml:space="preserve"> LK</t>
    </r>
  </si>
  <si>
    <t>xxxxx / 8233</t>
  </si>
  <si>
    <t>Sportovní hala</t>
  </si>
  <si>
    <r>
      <t xml:space="preserve"> 06/</t>
    </r>
    <r>
      <rPr>
        <sz val="7"/>
        <rFont val="Arial CE"/>
        <family val="2"/>
      </rPr>
      <t>3412,3421</t>
    </r>
  </si>
  <si>
    <t xml:space="preserve"> 00091</t>
  </si>
  <si>
    <t xml:space="preserve"> 4351/4</t>
  </si>
  <si>
    <t>strav. zař SYNEK</t>
  </si>
  <si>
    <t>Velký dětský den</t>
  </si>
  <si>
    <t>GRANT soc.sl.</t>
  </si>
  <si>
    <t>Místo u řeky</t>
  </si>
  <si>
    <t>Neckyáda</t>
  </si>
  <si>
    <t xml:space="preserve"> 07/ 5512</t>
  </si>
  <si>
    <t>JSDH provoz</t>
  </si>
  <si>
    <t>DPPO za 2007 (energie)</t>
  </si>
  <si>
    <t>posvícení</t>
  </si>
  <si>
    <t>Korunka 4444</t>
  </si>
  <si>
    <t>2321 Partnerství: Místo u řeky</t>
  </si>
  <si>
    <t>04/3113</t>
  </si>
  <si>
    <t>DS objekty 551,parkoviště</t>
  </si>
  <si>
    <t xml:space="preserve">P-V po konsol: </t>
  </si>
  <si>
    <t>ZŠ integrace II</t>
  </si>
  <si>
    <t>ŠJ objekt</t>
  </si>
  <si>
    <t>2412 vánoce</t>
  </si>
  <si>
    <t>SH prostř. MČ</t>
  </si>
  <si>
    <t>2 0 0 9</t>
  </si>
  <si>
    <r>
      <t>dětská hřiště</t>
    </r>
    <r>
      <rPr>
        <sz val="7"/>
        <rFont val="Arial CE"/>
        <family val="2"/>
      </rPr>
      <t xml:space="preserve"> 4635 </t>
    </r>
    <r>
      <rPr>
        <strike/>
        <sz val="7"/>
        <rFont val="Arial CE"/>
        <family val="2"/>
      </rPr>
      <t>4491</t>
    </r>
    <r>
      <rPr>
        <sz val="7"/>
        <rFont val="Arial CE"/>
        <family val="2"/>
      </rPr>
      <t xml:space="preserve"> provoz MČ</t>
    </r>
  </si>
  <si>
    <r>
      <t xml:space="preserve">Pěší propoj Sídl </t>
    </r>
    <r>
      <rPr>
        <sz val="6"/>
        <rFont val="Arial CE"/>
        <family val="2"/>
      </rPr>
      <t>dopl z 2007</t>
    </r>
  </si>
  <si>
    <r>
      <t>LSPP</t>
    </r>
    <r>
      <rPr>
        <sz val="7"/>
        <rFont val="Arial CE"/>
        <family val="2"/>
      </rPr>
      <t xml:space="preserve"> z přeplatků</t>
    </r>
  </si>
  <si>
    <r>
      <t xml:space="preserve">hřiště </t>
    </r>
    <r>
      <rPr>
        <strike/>
        <sz val="7"/>
        <rFont val="Arial CE"/>
        <family val="2"/>
      </rPr>
      <t>sport.hala</t>
    </r>
  </si>
  <si>
    <r>
      <t>ÚMČ</t>
    </r>
    <r>
      <rPr>
        <sz val="7"/>
        <rFont val="Arial CE"/>
        <family val="2"/>
      </rPr>
      <t xml:space="preserve"> vč. Grantů MČ</t>
    </r>
  </si>
  <si>
    <t>MŠ objekt</t>
  </si>
  <si>
    <t>ZŠ objekt</t>
  </si>
  <si>
    <t>LDT vč. vratek</t>
  </si>
  <si>
    <t>3121 dary na poř.Dl.Maj</t>
  </si>
  <si>
    <r>
      <t xml:space="preserve">4112 stát st.spr  9.881 </t>
    </r>
    <r>
      <rPr>
        <i/>
        <sz val="6"/>
        <rFont val="Arial CE"/>
        <family val="2"/>
      </rPr>
      <t>2008/9.348</t>
    </r>
    <r>
      <rPr>
        <i/>
        <sz val="7"/>
        <rFont val="Arial CE"/>
        <family val="2"/>
      </rPr>
      <t>:</t>
    </r>
  </si>
  <si>
    <r>
      <t xml:space="preserve">4112 stát škol 1.076  </t>
    </r>
    <r>
      <rPr>
        <i/>
        <sz val="6"/>
        <rFont val="Arial CE"/>
        <family val="2"/>
      </rPr>
      <t>2008/1.010</t>
    </r>
    <r>
      <rPr>
        <i/>
        <sz val="7"/>
        <rFont val="Arial CE"/>
        <family val="2"/>
      </rPr>
      <t>:</t>
    </r>
  </si>
  <si>
    <r>
      <t xml:space="preserve">dotace stát 1.401  </t>
    </r>
    <r>
      <rPr>
        <strike/>
        <sz val="7"/>
        <rFont val="Arial CE"/>
        <family val="2"/>
      </rPr>
      <t>1.360</t>
    </r>
    <r>
      <rPr>
        <sz val="7"/>
        <rFont val="Arial CE"/>
        <family val="2"/>
      </rPr>
      <t xml:space="preserve"> Kč/žáka</t>
    </r>
  </si>
  <si>
    <t>DS nájemné odvod</t>
  </si>
  <si>
    <r>
      <t>schválený</t>
    </r>
    <r>
      <rPr>
        <b/>
        <i/>
        <sz val="8"/>
        <rFont val="Arial CE"/>
        <family val="2"/>
      </rPr>
      <t xml:space="preserve"> rozpočet 2009</t>
    </r>
  </si>
  <si>
    <t xml:space="preserve">FV 2008 st.prostř. </t>
  </si>
  <si>
    <t>FV 2008 vč SSP ? 1.510 tis  .</t>
  </si>
  <si>
    <t>předpokl stavu úvěru 31/12/09</t>
  </si>
  <si>
    <t>Základní škola prevence</t>
  </si>
  <si>
    <t>ost.zál.poz.komunik</t>
  </si>
  <si>
    <t>vzhled obce</t>
  </si>
  <si>
    <t>veřejná zeleň</t>
  </si>
  <si>
    <r>
      <t xml:space="preserve">4129 </t>
    </r>
    <r>
      <rPr>
        <i/>
        <strike/>
        <sz val="6"/>
        <rFont val="Arial CE"/>
        <family val="2"/>
      </rPr>
      <t>4229</t>
    </r>
    <r>
      <rPr>
        <i/>
        <sz val="7"/>
        <rFont val="Arial CE"/>
        <family val="2"/>
      </rPr>
      <t xml:space="preserve"> neinv přij.transf obcí Org 5555 kůň SO</t>
    </r>
  </si>
  <si>
    <t>st.správa dofinancování</t>
  </si>
  <si>
    <t>rozdíl tj. SFZ 3%</t>
  </si>
  <si>
    <t>dětská hřiště org 4635</t>
  </si>
  <si>
    <t>veř.siln.doprava</t>
  </si>
  <si>
    <t>98348</t>
  </si>
  <si>
    <t xml:space="preserve"> 09/6117</t>
  </si>
  <si>
    <t>volby EP</t>
  </si>
  <si>
    <t>Úpravy kostela</t>
  </si>
  <si>
    <t>Král.průvod</t>
  </si>
  <si>
    <t xml:space="preserve"> 09/ 6171</t>
  </si>
  <si>
    <t>org čp. 215</t>
  </si>
  <si>
    <t>010609</t>
  </si>
  <si>
    <t>060609</t>
  </si>
  <si>
    <t>200609</t>
  </si>
  <si>
    <t>NZZ okna</t>
  </si>
  <si>
    <t>org 4</t>
  </si>
  <si>
    <t>upravený rozpočet rozp HMP</t>
  </si>
  <si>
    <t>účel stát</t>
  </si>
  <si>
    <t>účel HMP</t>
  </si>
  <si>
    <t>účel celkem</t>
  </si>
  <si>
    <t>SH zprostř.sml</t>
  </si>
  <si>
    <t>3412; 3421</t>
  </si>
  <si>
    <t>Burčák FEST</t>
  </si>
  <si>
    <t>190909</t>
  </si>
  <si>
    <t>MPSV grant</t>
  </si>
  <si>
    <t>ost.služby soc (pohřeb)</t>
  </si>
  <si>
    <t>13305</t>
  </si>
  <si>
    <t xml:space="preserve"> 05/ 4351</t>
  </si>
  <si>
    <t>10111009</t>
  </si>
  <si>
    <t>Hav.posvícení</t>
  </si>
  <si>
    <t xml:space="preserve">nedočerp. státní prostř.: </t>
  </si>
  <si>
    <t xml:space="preserve">nedočerp. prostř. HMP: </t>
  </si>
  <si>
    <t xml:space="preserve">nedočerp. účel.prostř: </t>
  </si>
  <si>
    <t>výsledek P 16:</t>
  </si>
  <si>
    <t xml:space="preserve">výsledek celkem: </t>
  </si>
  <si>
    <t xml:space="preserve">SFZ: </t>
  </si>
  <si>
    <t>kanaliz,odp.vody</t>
  </si>
  <si>
    <t xml:space="preserve"> 09/6114</t>
  </si>
  <si>
    <t>neuskut.volby</t>
  </si>
  <si>
    <t>st.správa snížení dofinancování</t>
  </si>
  <si>
    <t>st.správa dofinancování mzdy</t>
  </si>
  <si>
    <t>2310,2321</t>
  </si>
  <si>
    <t>org 12521 SC</t>
  </si>
  <si>
    <t xml:space="preserve"> 04/3113</t>
  </si>
  <si>
    <t>ZŠ fotovolt.</t>
  </si>
  <si>
    <t>241209 vánoce</t>
  </si>
  <si>
    <t>vánoce 2008,2009</t>
  </si>
  <si>
    <t xml:space="preserve"> =(70000-69999)+(300000-48360)</t>
  </si>
  <si>
    <t xml:space="preserve"> =(6000000-5381721)+(19105000-18624000)</t>
  </si>
  <si>
    <t xml:space="preserve"> =(1479417-2082303,48)</t>
  </si>
  <si>
    <r>
      <t xml:space="preserve">úprava rozpočtu </t>
    </r>
    <r>
      <rPr>
        <b/>
        <i/>
        <sz val="7"/>
        <rFont val="Arial CE"/>
        <family val="2"/>
      </rPr>
      <t>vlastní MČ</t>
    </r>
  </si>
  <si>
    <r>
      <t xml:space="preserve"> účetní stav   </t>
    </r>
    <r>
      <rPr>
        <i/>
        <sz val="8"/>
        <rFont val="Arial CE"/>
        <family val="2"/>
      </rPr>
      <t>31.12.2009</t>
    </r>
  </si>
  <si>
    <r>
      <t xml:space="preserve">péče o mládež </t>
    </r>
    <r>
      <rPr>
        <strike/>
        <sz val="7"/>
        <rFont val="Arial CE"/>
        <family val="2"/>
      </rPr>
      <t>LDT</t>
    </r>
  </si>
  <si>
    <r>
      <t xml:space="preserve">3421  </t>
    </r>
    <r>
      <rPr>
        <strike/>
        <sz val="7"/>
        <rFont val="Arial CE"/>
        <family val="2"/>
      </rPr>
      <t>3412</t>
    </r>
  </si>
  <si>
    <t>DS odvod nájemného z bytů účt Orj 0900</t>
  </si>
  <si>
    <t>2460 SFZ spl.půjč</t>
  </si>
  <si>
    <t>2329 2328 nahodilé:</t>
  </si>
  <si>
    <t>Radot.radost vč Rodea 130609 a Gaud 99065</t>
  </si>
  <si>
    <r>
      <t xml:space="preserve">Chrob.osvětl, čp. </t>
    </r>
    <r>
      <rPr>
        <sz val="6"/>
        <rFont val="Arial CE"/>
        <family val="2"/>
      </rPr>
      <t>1052,NZZ,153 kluz,4520 chodníky,domovn,1251, 1070-71,74-75,1517, 215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</si>
</sst>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00000"/>
    <numFmt numFmtId="167" formatCode="&quot; Kč&quot;#,##0.00_);\(&quot; Kč&quot;#,##0.00\)"/>
    <numFmt numFmtId="168" formatCode="000000"/>
    <numFmt numFmtId="169" formatCode="#,##0.00\ &quot;Kč&quot;"/>
    <numFmt numFmtId="170" formatCode="0.0%"/>
    <numFmt numFmtId="171" formatCode="0.000000"/>
    <numFmt numFmtId="172" formatCode="0.0000"/>
    <numFmt numFmtId="173" formatCode="0.00000000"/>
  </numFmts>
  <fonts count="2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strike/>
      <sz val="7"/>
      <name val="Arial CE"/>
      <family val="2"/>
    </font>
    <font>
      <sz val="14"/>
      <name val="Arial CE"/>
      <family val="2"/>
    </font>
    <font>
      <strike/>
      <sz val="6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6"/>
      <name val="Arial CE"/>
      <family val="2"/>
    </font>
    <font>
      <i/>
      <strike/>
      <sz val="6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ck"/>
      <bottom style="thick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164" fontId="1" fillId="0" borderId="4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0" fontId="8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164" fontId="1" fillId="0" borderId="7" xfId="0" applyNumberFormat="1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64" fontId="1" fillId="0" borderId="7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wrapText="1"/>
    </xf>
    <xf numFmtId="164" fontId="1" fillId="0" borderId="15" xfId="0" applyNumberFormat="1" applyFont="1" applyFill="1" applyBorder="1" applyAlignment="1">
      <alignment/>
    </xf>
    <xf numFmtId="164" fontId="5" fillId="0" borderId="1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4" fontId="13" fillId="0" borderId="12" xfId="0" applyNumberFormat="1" applyFont="1" applyFill="1" applyBorder="1" applyAlignment="1" applyProtection="1">
      <alignment/>
      <protection/>
    </xf>
    <xf numFmtId="4" fontId="1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 wrapText="1"/>
    </xf>
    <xf numFmtId="17" fontId="1" fillId="0" borderId="19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8" fillId="0" borderId="5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vertical="center"/>
      <protection/>
    </xf>
    <xf numFmtId="4" fontId="1" fillId="0" borderId="2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5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right"/>
    </xf>
    <xf numFmtId="0" fontId="11" fillId="0" borderId="2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" fillId="0" borderId="22" xfId="0" applyFont="1" applyFill="1" applyBorder="1" applyAlignment="1">
      <alignment/>
    </xf>
    <xf numFmtId="164" fontId="6" fillId="0" borderId="23" xfId="0" applyNumberFormat="1" applyFont="1" applyFill="1" applyBorder="1" applyAlignment="1">
      <alignment wrapText="1"/>
    </xf>
    <xf numFmtId="17" fontId="1" fillId="0" borderId="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1" fillId="0" borderId="24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4" fontId="6" fillId="0" borderId="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3" fillId="0" borderId="5" xfId="0" applyNumberFormat="1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0" fontId="1" fillId="0" borderId="27" xfId="0" applyNumberFormat="1" applyFont="1" applyFill="1" applyBorder="1" applyAlignment="1">
      <alignment/>
    </xf>
    <xf numFmtId="10" fontId="1" fillId="0" borderId="5" xfId="0" applyNumberFormat="1" applyFont="1" applyFill="1" applyBorder="1" applyAlignment="1">
      <alignment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horizontal="right"/>
      <protection/>
    </xf>
    <xf numFmtId="4" fontId="13" fillId="0" borderId="29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3" fillId="0" borderId="9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64" fontId="1" fillId="0" borderId="33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0" fontId="1" fillId="0" borderId="34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64" fontId="3" fillId="0" borderId="23" xfId="0" applyNumberFormat="1" applyFont="1" applyFill="1" applyBorder="1" applyAlignment="1">
      <alignment wrapText="1"/>
    </xf>
    <xf numFmtId="10" fontId="1" fillId="0" borderId="2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36" xfId="0" applyNumberFormat="1" applyFont="1" applyFill="1" applyBorder="1" applyAlignment="1" applyProtection="1">
      <alignment/>
      <protection/>
    </xf>
    <xf numFmtId="0" fontId="4" fillId="0" borderId="37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/>
      <protection/>
    </xf>
    <xf numFmtId="0" fontId="13" fillId="0" borderId="38" xfId="0" applyNumberFormat="1" applyFont="1" applyFill="1" applyBorder="1" applyAlignment="1" applyProtection="1">
      <alignment/>
      <protection/>
    </xf>
    <xf numFmtId="4" fontId="1" fillId="0" borderId="39" xfId="0" applyNumberFormat="1" applyFont="1" applyFill="1" applyBorder="1" applyAlignment="1">
      <alignment/>
    </xf>
    <xf numFmtId="164" fontId="0" fillId="0" borderId="40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4" fontId="13" fillId="0" borderId="3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/>
    </xf>
    <xf numFmtId="4" fontId="11" fillId="0" borderId="44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164" fontId="3" fillId="0" borderId="4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4" fillId="0" borderId="46" xfId="0" applyNumberFormat="1" applyFont="1" applyFill="1" applyBorder="1" applyAlignment="1" applyProtection="1">
      <alignment/>
      <protection/>
    </xf>
    <xf numFmtId="164" fontId="8" fillId="0" borderId="2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 wrapText="1"/>
    </xf>
    <xf numFmtId="164" fontId="3" fillId="0" borderId="48" xfId="0" applyNumberFormat="1" applyFont="1" applyFill="1" applyBorder="1" applyAlignment="1">
      <alignment wrapText="1"/>
    </xf>
    <xf numFmtId="10" fontId="1" fillId="0" borderId="2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4" fillId="0" borderId="49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4" fontId="1" fillId="0" borderId="50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4" fontId="13" fillId="0" borderId="4" xfId="0" applyNumberFormat="1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3" fillId="0" borderId="52" xfId="0" applyNumberFormat="1" applyFont="1" applyFill="1" applyBorder="1" applyAlignment="1">
      <alignment/>
    </xf>
    <xf numFmtId="0" fontId="1" fillId="0" borderId="53" xfId="0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55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 horizontal="center" wrapText="1"/>
    </xf>
    <xf numFmtId="164" fontId="6" fillId="0" borderId="42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/>
    </xf>
    <xf numFmtId="0" fontId="1" fillId="0" borderId="47" xfId="0" applyNumberFormat="1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 wrapText="1"/>
    </xf>
    <xf numFmtId="4" fontId="1" fillId="0" borderId="5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4" fontId="13" fillId="0" borderId="59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 wrapText="1"/>
    </xf>
    <xf numFmtId="4" fontId="1" fillId="0" borderId="60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4" fontId="6" fillId="0" borderId="61" xfId="0" applyNumberFormat="1" applyFont="1" applyFill="1" applyBorder="1" applyAlignment="1">
      <alignment/>
    </xf>
    <xf numFmtId="4" fontId="4" fillId="0" borderId="6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4" fontId="11" fillId="0" borderId="61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44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44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5" fillId="0" borderId="6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4" fontId="4" fillId="0" borderId="56" xfId="0" applyNumberFormat="1" applyFont="1" applyFill="1" applyBorder="1" applyAlignment="1">
      <alignment/>
    </xf>
    <xf numFmtId="4" fontId="3" fillId="0" borderId="46" xfId="0" applyNumberFormat="1" applyFont="1" applyFill="1" applyBorder="1" applyAlignment="1">
      <alignment/>
    </xf>
    <xf numFmtId="4" fontId="3" fillId="0" borderId="62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4" fontId="1" fillId="0" borderId="15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3" fillId="0" borderId="6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 wrapText="1"/>
    </xf>
    <xf numFmtId="4" fontId="6" fillId="0" borderId="63" xfId="0" applyNumberFormat="1" applyFont="1" applyFill="1" applyBorder="1" applyAlignment="1">
      <alignment/>
    </xf>
    <xf numFmtId="4" fontId="6" fillId="0" borderId="60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4" fontId="13" fillId="0" borderId="45" xfId="0" applyNumberFormat="1" applyFont="1" applyFill="1" applyBorder="1" applyAlignment="1">
      <alignment/>
    </xf>
    <xf numFmtId="17" fontId="1" fillId="0" borderId="3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164" fontId="6" fillId="0" borderId="48" xfId="0" applyNumberFormat="1" applyFont="1" applyFill="1" applyBorder="1" applyAlignment="1">
      <alignment wrapText="1"/>
    </xf>
    <xf numFmtId="4" fontId="1" fillId="0" borderId="33" xfId="0" applyNumberFormat="1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164" fontId="6" fillId="0" borderId="66" xfId="0" applyNumberFormat="1" applyFont="1" applyFill="1" applyBorder="1" applyAlignment="1">
      <alignment/>
    </xf>
    <xf numFmtId="164" fontId="23" fillId="0" borderId="66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1" fillId="0" borderId="67" xfId="0" applyNumberFormat="1" applyFont="1" applyFill="1" applyBorder="1" applyAlignment="1">
      <alignment/>
    </xf>
    <xf numFmtId="0" fontId="1" fillId="0" borderId="68" xfId="0" applyNumberFormat="1" applyFont="1" applyFill="1" applyBorder="1" applyAlignment="1">
      <alignment/>
    </xf>
    <xf numFmtId="164" fontId="23" fillId="0" borderId="66" xfId="0" applyNumberFormat="1" applyFont="1" applyFill="1" applyBorder="1" applyAlignment="1">
      <alignment/>
    </xf>
    <xf numFmtId="4" fontId="1" fillId="0" borderId="69" xfId="0" applyNumberFormat="1" applyFont="1" applyFill="1" applyBorder="1" applyAlignment="1">
      <alignment/>
    </xf>
    <xf numFmtId="4" fontId="13" fillId="0" borderId="46" xfId="0" applyNumberFormat="1" applyFont="1" applyFill="1" applyBorder="1" applyAlignment="1" applyProtection="1">
      <alignment/>
      <protection/>
    </xf>
    <xf numFmtId="4" fontId="4" fillId="0" borderId="62" xfId="0" applyNumberFormat="1" applyFont="1" applyFill="1" applyBorder="1" applyAlignment="1" applyProtection="1">
      <alignment/>
      <protection/>
    </xf>
    <xf numFmtId="4" fontId="13" fillId="0" borderId="6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0" borderId="62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>
      <alignment horizontal="right"/>
    </xf>
    <xf numFmtId="0" fontId="12" fillId="0" borderId="70" xfId="0" applyNumberFormat="1" applyFont="1" applyFill="1" applyBorder="1" applyAlignment="1" applyProtection="1">
      <alignment horizontal="center" vertical="center"/>
      <protection/>
    </xf>
    <xf numFmtId="0" fontId="16" fillId="0" borderId="53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16" fillId="0" borderId="7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73" xfId="0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 wrapText="1"/>
    </xf>
    <xf numFmtId="0" fontId="0" fillId="0" borderId="61" xfId="0" applyFont="1" applyFill="1" applyBorder="1" applyAlignment="1">
      <alignment horizontal="right" wrapText="1"/>
    </xf>
    <xf numFmtId="4" fontId="1" fillId="0" borderId="71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 wrapText="1"/>
    </xf>
    <xf numFmtId="0" fontId="11" fillId="0" borderId="61" xfId="0" applyFont="1" applyFill="1" applyBorder="1" applyAlignment="1">
      <alignment wrapText="1"/>
    </xf>
    <xf numFmtId="164" fontId="7" fillId="0" borderId="74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11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8" fillId="0" borderId="27" xfId="0" applyFont="1" applyFill="1" applyBorder="1" applyAlignment="1">
      <alignment horizontal="right" wrapText="1"/>
    </xf>
    <xf numFmtId="0" fontId="0" fillId="0" borderId="61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0" fontId="0" fillId="0" borderId="76" xfId="0" applyFont="1" applyFill="1" applyBorder="1" applyAlignment="1">
      <alignment/>
    </xf>
    <xf numFmtId="3" fontId="4" fillId="0" borderId="28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/>
    </xf>
    <xf numFmtId="3" fontId="10" fillId="0" borderId="28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="85" zoomScaleNormal="8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47" sqref="I147"/>
    </sheetView>
  </sheetViews>
  <sheetFormatPr defaultColWidth="9.00390625" defaultRowHeight="12.75"/>
  <cols>
    <col min="1" max="1" width="13.125" style="1" bestFit="1" customWidth="1"/>
    <col min="2" max="2" width="7.875" style="1" customWidth="1"/>
    <col min="3" max="3" width="11.75390625" style="1" customWidth="1"/>
    <col min="4" max="4" width="8.625" style="2" customWidth="1"/>
    <col min="5" max="6" width="8.625" style="213" customWidth="1"/>
    <col min="7" max="7" width="9.125" style="72" customWidth="1"/>
    <col min="8" max="8" width="9.875" style="72" bestFit="1" customWidth="1"/>
    <col min="9" max="9" width="13.875" style="73" customWidth="1"/>
    <col min="10" max="10" width="11.875" style="214" hidden="1" customWidth="1"/>
    <col min="11" max="11" width="13.00390625" style="214" hidden="1" customWidth="1"/>
    <col min="12" max="12" width="12.00390625" style="214" hidden="1" customWidth="1"/>
    <col min="13" max="13" width="13.00390625" style="214" hidden="1" customWidth="1"/>
    <col min="14" max="14" width="9.75390625" style="73" customWidth="1"/>
    <col min="15" max="15" width="12.00390625" style="3" bestFit="1" customWidth="1"/>
    <col min="16" max="16" width="10.625" style="3" customWidth="1"/>
    <col min="17" max="17" width="11.25390625" style="220" bestFit="1" customWidth="1"/>
    <col min="18" max="18" width="8.625" style="220" customWidth="1"/>
    <col min="19" max="19" width="9.625" style="72" bestFit="1" customWidth="1"/>
    <col min="20" max="20" width="9.875" style="72" bestFit="1" customWidth="1"/>
    <col min="21" max="21" width="13.875" style="73" customWidth="1"/>
    <col min="22" max="22" width="11.125" style="60" bestFit="1" customWidth="1"/>
    <col min="23" max="16384" width="9.125" style="60" customWidth="1"/>
  </cols>
  <sheetData>
    <row r="1" spans="1:21" ht="13.5" thickTop="1">
      <c r="A1" s="262" t="s">
        <v>144</v>
      </c>
      <c r="B1" s="263"/>
      <c r="C1" s="264"/>
      <c r="D1" s="274" t="s">
        <v>31</v>
      </c>
      <c r="E1" s="275"/>
      <c r="F1" s="275"/>
      <c r="G1" s="275"/>
      <c r="H1" s="275"/>
      <c r="I1" s="276"/>
      <c r="J1" s="158" t="s">
        <v>72</v>
      </c>
      <c r="K1" s="159"/>
      <c r="L1" s="158">
        <f>1263*0.09</f>
        <v>113.67</v>
      </c>
      <c r="M1" s="159"/>
      <c r="N1" s="160"/>
      <c r="O1" s="270"/>
      <c r="P1" s="274" t="s">
        <v>32</v>
      </c>
      <c r="Q1" s="275"/>
      <c r="R1" s="275"/>
      <c r="S1" s="275"/>
      <c r="T1" s="275"/>
      <c r="U1" s="283"/>
    </row>
    <row r="2" spans="1:21" s="61" customFormat="1" ht="34.5" customHeight="1" thickBot="1">
      <c r="A2" s="265"/>
      <c r="B2" s="266"/>
      <c r="C2" s="267"/>
      <c r="D2" s="147" t="s">
        <v>158</v>
      </c>
      <c r="E2" s="148" t="s">
        <v>3</v>
      </c>
      <c r="F2" s="148" t="s">
        <v>217</v>
      </c>
      <c r="G2" s="148" t="s">
        <v>183</v>
      </c>
      <c r="H2" s="148" t="s">
        <v>5</v>
      </c>
      <c r="I2" s="161" t="s">
        <v>218</v>
      </c>
      <c r="J2" s="162" t="s">
        <v>98</v>
      </c>
      <c r="K2" s="162" t="s">
        <v>99</v>
      </c>
      <c r="L2" s="163" t="s">
        <v>102</v>
      </c>
      <c r="M2" s="163" t="s">
        <v>100</v>
      </c>
      <c r="N2" s="164"/>
      <c r="O2" s="271"/>
      <c r="P2" s="147" t="s">
        <v>158</v>
      </c>
      <c r="Q2" s="148" t="s">
        <v>3</v>
      </c>
      <c r="R2" s="148" t="s">
        <v>217</v>
      </c>
      <c r="S2" s="148" t="s">
        <v>183</v>
      </c>
      <c r="T2" s="148" t="s">
        <v>5</v>
      </c>
      <c r="U2" s="165" t="s">
        <v>218</v>
      </c>
    </row>
    <row r="3" spans="1:21" ht="13.5" thickTop="1">
      <c r="A3" s="114"/>
      <c r="B3" s="115">
        <v>2321</v>
      </c>
      <c r="C3" s="116" t="s">
        <v>203</v>
      </c>
      <c r="D3" s="138"/>
      <c r="E3" s="166">
        <f>7/7*5*(99/99)</f>
        <v>5</v>
      </c>
      <c r="F3" s="166">
        <f>12/12*7</f>
        <v>7</v>
      </c>
      <c r="G3" s="131">
        <f aca="true" t="shared" si="0" ref="G3:G41">D3+E3</f>
        <v>5</v>
      </c>
      <c r="H3" s="131">
        <f aca="true" t="shared" si="1" ref="H3:H9">G3+F3</f>
        <v>12</v>
      </c>
      <c r="I3" s="167">
        <f>3/3*5232*0+11/11*12372</f>
        <v>12372</v>
      </c>
      <c r="J3" s="168"/>
      <c r="K3" s="169">
        <f aca="true" t="shared" si="2" ref="K3:K12">I3+J3</f>
        <v>12372</v>
      </c>
      <c r="L3" s="170"/>
      <c r="M3" s="169">
        <f>K3+L3</f>
        <v>12372</v>
      </c>
      <c r="N3" s="149"/>
      <c r="O3" s="150"/>
      <c r="P3" s="151"/>
      <c r="Q3" s="171"/>
      <c r="R3" s="166"/>
      <c r="S3" s="131">
        <f aca="true" t="shared" si="3" ref="S3:S18">P3+Q3</f>
        <v>0</v>
      </c>
      <c r="T3" s="172">
        <f>S3+R3</f>
        <v>0</v>
      </c>
      <c r="U3" s="173"/>
    </row>
    <row r="4" spans="1:21" ht="12.75">
      <c r="A4" s="19"/>
      <c r="B4" s="174">
        <v>2310</v>
      </c>
      <c r="C4" s="175" t="s">
        <v>177</v>
      </c>
      <c r="D4" s="12"/>
      <c r="E4" s="7">
        <f>7/7*38*(99/99)</f>
        <v>38</v>
      </c>
      <c r="F4" s="7">
        <f>12/12*5</f>
        <v>5</v>
      </c>
      <c r="G4" s="8">
        <f>D4+E4</f>
        <v>38</v>
      </c>
      <c r="H4" s="8">
        <f t="shared" si="1"/>
        <v>43</v>
      </c>
      <c r="I4" s="51">
        <f>9/9*3570+215/215*6/6*37264</f>
        <v>40834</v>
      </c>
      <c r="J4" s="176"/>
      <c r="K4" s="177"/>
      <c r="L4" s="178"/>
      <c r="M4" s="177"/>
      <c r="N4" s="62"/>
      <c r="O4" s="63"/>
      <c r="P4" s="22"/>
      <c r="Q4" s="179"/>
      <c r="R4" s="180"/>
      <c r="S4" s="21"/>
      <c r="T4" s="139"/>
      <c r="U4" s="181"/>
    </row>
    <row r="5" spans="1:21" ht="12.75">
      <c r="A5" s="19"/>
      <c r="B5" s="182" t="s">
        <v>208</v>
      </c>
      <c r="C5" s="175" t="s">
        <v>209</v>
      </c>
      <c r="D5" s="12"/>
      <c r="E5" s="7"/>
      <c r="F5" s="7">
        <f>12/12*15</f>
        <v>15</v>
      </c>
      <c r="G5" s="8"/>
      <c r="H5" s="8">
        <f>G5+F5</f>
        <v>15</v>
      </c>
      <c r="I5" s="51">
        <f>12/12*14500+199680</f>
        <v>214180</v>
      </c>
      <c r="J5" s="176"/>
      <c r="K5" s="177"/>
      <c r="L5" s="178"/>
      <c r="M5" s="177"/>
      <c r="N5" s="62"/>
      <c r="O5" s="63"/>
      <c r="P5" s="22"/>
      <c r="Q5" s="179"/>
      <c r="R5" s="180"/>
      <c r="S5" s="21"/>
      <c r="T5" s="139"/>
      <c r="U5" s="181"/>
    </row>
    <row r="6" spans="1:21" ht="12.75">
      <c r="A6" s="5"/>
      <c r="B6" s="6">
        <v>3421</v>
      </c>
      <c r="C6" s="59" t="s">
        <v>169</v>
      </c>
      <c r="D6" s="12"/>
      <c r="E6" s="7"/>
      <c r="F6" s="7"/>
      <c r="G6" s="8">
        <f>D6+E6</f>
        <v>0</v>
      </c>
      <c r="H6" s="8">
        <f t="shared" si="1"/>
        <v>0</v>
      </c>
      <c r="I6" s="51">
        <f>5/5*17659.26</f>
        <v>17659.26</v>
      </c>
      <c r="J6" s="176"/>
      <c r="K6" s="177"/>
      <c r="L6" s="178"/>
      <c r="M6" s="177"/>
      <c r="N6" s="62"/>
      <c r="O6" s="63"/>
      <c r="P6" s="22"/>
      <c r="Q6" s="179"/>
      <c r="R6" s="180"/>
      <c r="S6" s="8">
        <f t="shared" si="3"/>
        <v>0</v>
      </c>
      <c r="T6" s="139">
        <f>S6+R6</f>
        <v>0</v>
      </c>
      <c r="U6" s="181"/>
    </row>
    <row r="7" spans="1:21" ht="12.75">
      <c r="A7" s="19"/>
      <c r="B7" s="6">
        <v>3722</v>
      </c>
      <c r="C7" s="59" t="s">
        <v>4</v>
      </c>
      <c r="D7" s="12"/>
      <c r="E7" s="7"/>
      <c r="F7" s="7">
        <f>12/12*10</f>
        <v>10</v>
      </c>
      <c r="G7" s="8">
        <f t="shared" si="0"/>
        <v>0</v>
      </c>
      <c r="H7" s="8">
        <f t="shared" si="1"/>
        <v>10</v>
      </c>
      <c r="I7" s="51">
        <f>3/3*8830</f>
        <v>8830</v>
      </c>
      <c r="J7" s="126"/>
      <c r="K7" s="155">
        <f t="shared" si="2"/>
        <v>8830</v>
      </c>
      <c r="L7" s="47"/>
      <c r="M7" s="155">
        <f>K7+L7</f>
        <v>8830</v>
      </c>
      <c r="N7" s="64" t="s">
        <v>90</v>
      </c>
      <c r="O7" s="65"/>
      <c r="P7" s="17"/>
      <c r="Q7" s="179"/>
      <c r="R7" s="7"/>
      <c r="S7" s="8">
        <f t="shared" si="3"/>
        <v>0</v>
      </c>
      <c r="T7" s="139">
        <f>S7+R7</f>
        <v>0</v>
      </c>
      <c r="U7" s="181"/>
    </row>
    <row r="8" spans="1:21" ht="12.75" hidden="1">
      <c r="A8" s="19"/>
      <c r="B8" s="6">
        <v>3745</v>
      </c>
      <c r="C8" s="100" t="s">
        <v>164</v>
      </c>
      <c r="D8" s="12"/>
      <c r="E8" s="7"/>
      <c r="F8" s="7"/>
      <c r="G8" s="21">
        <f t="shared" si="0"/>
        <v>0</v>
      </c>
      <c r="H8" s="139">
        <f t="shared" si="1"/>
        <v>0</v>
      </c>
      <c r="I8" s="51"/>
      <c r="J8" s="126"/>
      <c r="K8" s="155">
        <f t="shared" si="2"/>
        <v>0</v>
      </c>
      <c r="L8" s="47"/>
      <c r="M8" s="155">
        <f>K8+L8</f>
        <v>0</v>
      </c>
      <c r="N8" s="272"/>
      <c r="O8" s="273"/>
      <c r="P8" s="17"/>
      <c r="Q8" s="179"/>
      <c r="R8" s="179"/>
      <c r="S8" s="8">
        <f t="shared" si="3"/>
        <v>0</v>
      </c>
      <c r="T8" s="139">
        <f aca="true" t="shared" si="4" ref="T8:T23">S8+R8</f>
        <v>0</v>
      </c>
      <c r="U8" s="181"/>
    </row>
    <row r="9" spans="1:21" ht="12.75" customHeight="1" hidden="1">
      <c r="A9" s="5"/>
      <c r="B9" s="6">
        <v>3421</v>
      </c>
      <c r="C9" s="130" t="s">
        <v>145</v>
      </c>
      <c r="D9" s="12">
        <v>0</v>
      </c>
      <c r="E9" s="7"/>
      <c r="F9" s="7"/>
      <c r="G9" s="21">
        <f t="shared" si="0"/>
        <v>0</v>
      </c>
      <c r="H9" s="139">
        <f t="shared" si="1"/>
        <v>0</v>
      </c>
      <c r="I9" s="51"/>
      <c r="J9" s="126"/>
      <c r="K9" s="155">
        <f t="shared" si="2"/>
        <v>0</v>
      </c>
      <c r="L9" s="47"/>
      <c r="M9" s="155">
        <f>K9+L9</f>
        <v>0</v>
      </c>
      <c r="N9" s="272"/>
      <c r="O9" s="273"/>
      <c r="P9" s="17"/>
      <c r="Q9" s="179"/>
      <c r="R9" s="179"/>
      <c r="S9" s="8">
        <f t="shared" si="3"/>
        <v>0</v>
      </c>
      <c r="T9" s="139">
        <f t="shared" si="4"/>
        <v>0</v>
      </c>
      <c r="U9" s="181"/>
    </row>
    <row r="10" spans="1:21" ht="12.75">
      <c r="A10" s="97" t="s">
        <v>108</v>
      </c>
      <c r="B10" s="183">
        <f>H10+H118-2/2*0-3/3*3800*0-7/7*3843*0-12/12*3880</f>
        <v>0</v>
      </c>
      <c r="C10" s="51">
        <f>I10+I118-2/2*0-3/3*14062*0-5/5*1031721.26*0-6/6*1768985.26*0-7/7*1968985.26*0-9/9*2772555.26*0-10/10*3272555.26*0-11/11*3279695.26*0-12/12*4093875.26</f>
        <v>0</v>
      </c>
      <c r="D10" s="13">
        <f>SUM(D3:D9)</f>
        <v>0</v>
      </c>
      <c r="E10" s="184">
        <f>SUM(E3:E9)</f>
        <v>43</v>
      </c>
      <c r="F10" s="184">
        <f>SUM(F3:F9)</f>
        <v>37</v>
      </c>
      <c r="G10" s="9">
        <f t="shared" si="0"/>
        <v>43</v>
      </c>
      <c r="H10" s="184">
        <f aca="true" t="shared" si="5" ref="H10:M10">SUM(H3:H9)</f>
        <v>80</v>
      </c>
      <c r="I10" s="135">
        <f>SUM(I3:I9)</f>
        <v>293875.26</v>
      </c>
      <c r="J10" s="154">
        <f t="shared" si="5"/>
        <v>0</v>
      </c>
      <c r="K10" s="155">
        <f t="shared" si="5"/>
        <v>21202</v>
      </c>
      <c r="L10" s="154">
        <f t="shared" si="5"/>
        <v>0</v>
      </c>
      <c r="M10" s="155">
        <f t="shared" si="5"/>
        <v>21202</v>
      </c>
      <c r="N10" s="64">
        <f>T10+T118-2/2*(2/2*3800*(0+3/3))</f>
        <v>0</v>
      </c>
      <c r="O10" s="185">
        <f>U10+U118-2/2*(2/2*3800000)</f>
        <v>0</v>
      </c>
      <c r="P10" s="13">
        <f>SUM(P3:P9)</f>
        <v>0</v>
      </c>
      <c r="Q10" s="184">
        <f>SUM(Q3:Q9)</f>
        <v>0</v>
      </c>
      <c r="R10" s="184">
        <f>SUM(R3:R9)</f>
        <v>0</v>
      </c>
      <c r="S10" s="9">
        <f t="shared" si="3"/>
        <v>0</v>
      </c>
      <c r="T10" s="184">
        <f>SUM(T3:T9)</f>
        <v>0</v>
      </c>
      <c r="U10" s="186">
        <f>SUM(U3:U9)</f>
        <v>0</v>
      </c>
    </row>
    <row r="11" spans="1:21" ht="12.75">
      <c r="A11" s="5" t="s">
        <v>48</v>
      </c>
      <c r="B11" s="6">
        <v>2212</v>
      </c>
      <c r="C11" s="59" t="s">
        <v>6</v>
      </c>
      <c r="D11" s="12">
        <v>480</v>
      </c>
      <c r="E11" s="7">
        <f>7/7*82*(99/99)</f>
        <v>82</v>
      </c>
      <c r="F11" s="7">
        <f>12/12*(10+84-238)</f>
        <v>-144</v>
      </c>
      <c r="G11" s="21">
        <f t="shared" si="0"/>
        <v>562</v>
      </c>
      <c r="H11" s="139">
        <f>G11+F11</f>
        <v>418</v>
      </c>
      <c r="I11" s="187">
        <f>104131.51*0+3/3*217027.95*0+4/4*230272.79*0+5/5*243357.79*0+6/6*288894.79*0+7/7*344944.59*0+8/8*328147.59*0+9/9*373256.79*0+10/10*375306.79*0+11/11*(454950.59*0+12/12*480209.59+36122/36122*(8000*0+12/12*76407))</f>
        <v>556616.5900000001</v>
      </c>
      <c r="J11" s="126"/>
      <c r="K11" s="155">
        <f t="shared" si="2"/>
        <v>556616.5900000001</v>
      </c>
      <c r="L11" s="47"/>
      <c r="M11" s="155">
        <f>K11+L11</f>
        <v>556616.5900000001</v>
      </c>
      <c r="N11" s="77"/>
      <c r="O11" s="65"/>
      <c r="P11" s="17"/>
      <c r="Q11" s="179"/>
      <c r="R11" s="8"/>
      <c r="S11" s="8">
        <f t="shared" si="3"/>
        <v>0</v>
      </c>
      <c r="T11" s="139">
        <f t="shared" si="4"/>
        <v>0</v>
      </c>
      <c r="U11" s="181"/>
    </row>
    <row r="12" spans="1:21" ht="12.75">
      <c r="A12" s="5"/>
      <c r="B12" s="6">
        <v>2219</v>
      </c>
      <c r="C12" s="59" t="s">
        <v>163</v>
      </c>
      <c r="D12" s="12">
        <v>20</v>
      </c>
      <c r="E12" s="7">
        <f>7/7*(15+58)*(99/99)</f>
        <v>73</v>
      </c>
      <c r="F12" s="7">
        <f>12/12*(0+36122/36122*76)</f>
        <v>76</v>
      </c>
      <c r="G12" s="21">
        <f>D12+E12</f>
        <v>93</v>
      </c>
      <c r="H12" s="139">
        <f>G12+F12</f>
        <v>169</v>
      </c>
      <c r="I12" s="187">
        <f>3100*0+4/4*6200*0+6/6*63788*0+12/12*77130+3612/3612*29750</f>
        <v>106880</v>
      </c>
      <c r="J12" s="126"/>
      <c r="K12" s="155">
        <f t="shared" si="2"/>
        <v>106880</v>
      </c>
      <c r="L12" s="47"/>
      <c r="M12" s="155">
        <f>K12+L12</f>
        <v>106880</v>
      </c>
      <c r="N12" s="64"/>
      <c r="O12" s="65"/>
      <c r="P12" s="17"/>
      <c r="Q12" s="179"/>
      <c r="R12" s="7"/>
      <c r="S12" s="8">
        <f t="shared" si="3"/>
        <v>0</v>
      </c>
      <c r="T12" s="139">
        <f t="shared" si="4"/>
        <v>0</v>
      </c>
      <c r="U12" s="181"/>
    </row>
    <row r="13" spans="1:21" ht="12.75" hidden="1">
      <c r="A13" s="5"/>
      <c r="B13" s="6">
        <v>2221</v>
      </c>
      <c r="C13" s="59" t="s">
        <v>170</v>
      </c>
      <c r="D13" s="12"/>
      <c r="E13" s="7"/>
      <c r="F13" s="7"/>
      <c r="G13" s="21"/>
      <c r="H13" s="139">
        <f>G13+F13</f>
        <v>0</v>
      </c>
      <c r="I13" s="187">
        <f>5/5*41568*0*6/6</f>
        <v>0</v>
      </c>
      <c r="J13" s="126"/>
      <c r="K13" s="155"/>
      <c r="L13" s="47"/>
      <c r="M13" s="155"/>
      <c r="N13" s="64"/>
      <c r="O13" s="65"/>
      <c r="P13" s="17"/>
      <c r="Q13" s="179"/>
      <c r="R13" s="7"/>
      <c r="S13" s="8">
        <f>P13+Q13</f>
        <v>0</v>
      </c>
      <c r="T13" s="139">
        <f aca="true" t="shared" si="6" ref="T13:T18">S13+R13</f>
        <v>0</v>
      </c>
      <c r="U13" s="181"/>
    </row>
    <row r="14" spans="1:21" ht="12.75">
      <c r="A14" s="5"/>
      <c r="B14" s="6">
        <v>3745</v>
      </c>
      <c r="C14" s="130" t="s">
        <v>165</v>
      </c>
      <c r="D14" s="12">
        <v>0</v>
      </c>
      <c r="E14" s="7">
        <f>7/7*90*(99/99)</f>
        <v>90</v>
      </c>
      <c r="F14" s="7"/>
      <c r="G14" s="21">
        <f t="shared" si="0"/>
        <v>90</v>
      </c>
      <c r="H14" s="139">
        <f>G14+F14</f>
        <v>90</v>
      </c>
      <c r="I14" s="187">
        <f>74018*0+3/3*81158*0+4/4*88358*0+5/5*89658</f>
        <v>89658</v>
      </c>
      <c r="J14" s="126"/>
      <c r="K14" s="155">
        <f aca="true" t="shared" si="7" ref="K14:K23">I14+J14</f>
        <v>89658</v>
      </c>
      <c r="L14" s="47"/>
      <c r="M14" s="155">
        <f>K14+L14</f>
        <v>89658</v>
      </c>
      <c r="N14" s="64"/>
      <c r="O14" s="65"/>
      <c r="P14" s="17"/>
      <c r="Q14" s="179"/>
      <c r="R14" s="7"/>
      <c r="S14" s="8">
        <f t="shared" si="3"/>
        <v>0</v>
      </c>
      <c r="T14" s="139">
        <f t="shared" si="6"/>
        <v>0</v>
      </c>
      <c r="U14" s="181"/>
    </row>
    <row r="15" spans="1:21" ht="12.75">
      <c r="A15" s="97" t="s">
        <v>109</v>
      </c>
      <c r="B15" s="183">
        <f>H15-2/2*0-3/3*500*0-7/7*745*0-12/12*677</f>
        <v>0</v>
      </c>
      <c r="C15" s="51">
        <f>I15-2/2*181249.51*0-3/3*331035.95*0-4/4*354580.79*0-5/5*410533.79*0-6/6*472090.79*0-7/7*528140.59*0-8/8*511343.59*0-9/9*564452.79*0-10/10*566502.79*0-11/11*646146.59*0-12/12*753154.59</f>
        <v>0</v>
      </c>
      <c r="D15" s="13">
        <f>SUM(D11:D14)</f>
        <v>500</v>
      </c>
      <c r="E15" s="184">
        <f>SUM(E11:E14)</f>
        <v>245</v>
      </c>
      <c r="F15" s="184">
        <f>SUM(F11:F14)</f>
        <v>-68</v>
      </c>
      <c r="G15" s="9">
        <f t="shared" si="0"/>
        <v>745</v>
      </c>
      <c r="H15" s="184">
        <f aca="true" t="shared" si="8" ref="H15:M15">SUM(H11:H14)</f>
        <v>677</v>
      </c>
      <c r="I15" s="135">
        <f t="shared" si="8"/>
        <v>753154.5900000001</v>
      </c>
      <c r="J15" s="154">
        <f t="shared" si="8"/>
        <v>0</v>
      </c>
      <c r="K15" s="155">
        <f t="shared" si="8"/>
        <v>753154.5900000001</v>
      </c>
      <c r="L15" s="154">
        <f t="shared" si="8"/>
        <v>0</v>
      </c>
      <c r="M15" s="155">
        <f t="shared" si="8"/>
        <v>753154.5900000001</v>
      </c>
      <c r="N15" s="64">
        <f>T15-3/3*(2/2*0)</f>
        <v>0</v>
      </c>
      <c r="O15" s="185">
        <f>U15-3/3*(2/2*0)</f>
        <v>0</v>
      </c>
      <c r="P15" s="13">
        <f>SUM(P11:P14)</f>
        <v>0</v>
      </c>
      <c r="Q15" s="184">
        <f>SUM(Q11:Q14)</f>
        <v>0</v>
      </c>
      <c r="R15" s="184">
        <f>SUM(R11:R14)</f>
        <v>0</v>
      </c>
      <c r="S15" s="8">
        <f t="shared" si="3"/>
        <v>0</v>
      </c>
      <c r="T15" s="139">
        <f t="shared" si="6"/>
        <v>0</v>
      </c>
      <c r="U15" s="186">
        <f>SUM(U11:U14)</f>
        <v>0</v>
      </c>
    </row>
    <row r="16" spans="1:21" ht="12.75">
      <c r="A16" s="5" t="s">
        <v>2</v>
      </c>
      <c r="B16" s="6">
        <v>3111</v>
      </c>
      <c r="C16" s="59" t="s">
        <v>7</v>
      </c>
      <c r="D16" s="49">
        <f>1450*1.05-22.5</f>
        <v>1500</v>
      </c>
      <c r="E16" s="188">
        <f>4/4*16*3111/3111*245/768-0.1041667</f>
        <v>4.999999966666667</v>
      </c>
      <c r="F16" s="7"/>
      <c r="G16" s="21">
        <f t="shared" si="0"/>
        <v>1504.9999999666666</v>
      </c>
      <c r="H16" s="139">
        <f aca="true" t="shared" si="9" ref="H16:H23">G16+F16</f>
        <v>1504.9999999666666</v>
      </c>
      <c r="I16" s="51">
        <f>121000*0+3/3*363000+6/6*362000+9/9*404000+11/11*376000</f>
        <v>1505000</v>
      </c>
      <c r="J16" s="126"/>
      <c r="K16" s="155">
        <f t="shared" si="7"/>
        <v>1505000</v>
      </c>
      <c r="L16" s="47">
        <f>1490000-1117500</f>
        <v>372500</v>
      </c>
      <c r="M16" s="155">
        <f aca="true" t="shared" si="10" ref="M16:M23">K16+L16</f>
        <v>1877500</v>
      </c>
      <c r="N16" s="64"/>
      <c r="O16" s="65"/>
      <c r="P16" s="128">
        <f>(768*0+(120+50+75))*1401/1000+0.032*0-0.245</f>
        <v>343</v>
      </c>
      <c r="Q16" s="188">
        <f>(768*0+(120+50+75))*1401/1000+0.032*0-0.245-343+4/4*16*245/768-0.104166667</f>
        <v>4.999999999666667</v>
      </c>
      <c r="R16" s="7"/>
      <c r="S16" s="8">
        <f t="shared" si="3"/>
        <v>347.99999999966667</v>
      </c>
      <c r="T16" s="139">
        <f t="shared" si="6"/>
        <v>347.99999999966667</v>
      </c>
      <c r="U16" s="181"/>
    </row>
    <row r="17" spans="1:21" ht="12.75">
      <c r="A17" s="189"/>
      <c r="B17" s="52"/>
      <c r="C17" s="119" t="s">
        <v>150</v>
      </c>
      <c r="D17" s="12"/>
      <c r="E17" s="7">
        <f>7/7*(99/99)*18</f>
        <v>18</v>
      </c>
      <c r="F17" s="7"/>
      <c r="G17" s="21">
        <f t="shared" si="0"/>
        <v>18</v>
      </c>
      <c r="H17" s="139">
        <f t="shared" si="9"/>
        <v>18</v>
      </c>
      <c r="I17" s="51">
        <f>2/2*121000*0+3/3*363000*0+4/4*381088*0+6/6*743088*0+8/8*743408.11*0+9/9*1147408.11*0+11/11*1523408.11*0+12/12*1538402.11-I16</f>
        <v>33402.1100000001</v>
      </c>
      <c r="J17" s="126"/>
      <c r="K17" s="155">
        <f t="shared" si="7"/>
        <v>33402.1100000001</v>
      </c>
      <c r="L17" s="47"/>
      <c r="M17" s="155">
        <f t="shared" si="10"/>
        <v>33402.1100000001</v>
      </c>
      <c r="N17" s="64" t="s">
        <v>156</v>
      </c>
      <c r="O17" s="65"/>
      <c r="P17" s="129"/>
      <c r="Q17" s="7"/>
      <c r="R17" s="7"/>
      <c r="S17" s="8">
        <f t="shared" si="3"/>
        <v>0</v>
      </c>
      <c r="T17" s="139">
        <f t="shared" si="6"/>
        <v>0</v>
      </c>
      <c r="U17" s="181">
        <f>((((1076000+4/4*16000)*245/768)/12+333.33333*0+145.399305)*12-701.3888862*0-5/5*876.736108*0+6/6*-1052.0833*0+298.6111*0+7/7*-1227.4306*0+8/8*-1402.7778*0+9/9*(421.875*0-1578.125)*0+10/10*(246.5278*0-1753.4722)*0+11/11*(71.1806-2000)*0)+12/12*(-104.1667-2000)-116000*4/4*0-145000*5/5*0-7/7*203000*0-9/9*263000*0</f>
        <v>347999.99996</v>
      </c>
    </row>
    <row r="18" spans="1:21" ht="12.75">
      <c r="A18" s="189"/>
      <c r="B18" s="6">
        <v>3113</v>
      </c>
      <c r="C18" s="100" t="s">
        <v>8</v>
      </c>
      <c r="D18" s="49">
        <f>2970*1.05-33.5</f>
        <v>3085</v>
      </c>
      <c r="E18" s="188">
        <f>4/4*16*(768-3111/3111*245)/768+0.104167</f>
        <v>11.000000333333334</v>
      </c>
      <c r="F18" s="7">
        <f>6/6*10*0*12/12</f>
        <v>0</v>
      </c>
      <c r="G18" s="21">
        <f>D18+E18</f>
        <v>3096.0000003333334</v>
      </c>
      <c r="H18" s="139">
        <f t="shared" si="9"/>
        <v>3096.0000003333334</v>
      </c>
      <c r="I18" s="51">
        <f>496000*0+3/3*744000+6/6*741000+9/9*837000+11/11*774000</f>
        <v>3096000</v>
      </c>
      <c r="J18" s="126"/>
      <c r="K18" s="155">
        <f t="shared" si="7"/>
        <v>3096000</v>
      </c>
      <c r="L18" s="47">
        <f>2830000-2154000+2006/2006*30000+25000</f>
        <v>731000</v>
      </c>
      <c r="M18" s="155">
        <f t="shared" si="10"/>
        <v>3827000</v>
      </c>
      <c r="N18" s="64"/>
      <c r="O18" s="65"/>
      <c r="P18" s="128">
        <f>(768-3111/3111*(120+50+75))*1401/1000+0.032*0+0.277</f>
        <v>733</v>
      </c>
      <c r="Q18" s="188">
        <f>(768-3111/3111*(120+50+75))*1401/1000+0.032*0+0.277-733+4/4*16*(768-245)/768+0.104166667</f>
        <v>11.000000000333333</v>
      </c>
      <c r="R18" s="7"/>
      <c r="S18" s="8">
        <f t="shared" si="3"/>
        <v>744.0000000003333</v>
      </c>
      <c r="T18" s="139">
        <f t="shared" si="6"/>
        <v>744.0000000003333</v>
      </c>
      <c r="U18" s="181"/>
    </row>
    <row r="19" spans="1:21" ht="12.75">
      <c r="A19" s="47"/>
      <c r="B19" s="6"/>
      <c r="C19" s="119" t="s">
        <v>151</v>
      </c>
      <c r="D19" s="12"/>
      <c r="E19" s="7"/>
      <c r="F19" s="7">
        <f>12/12*((137+92)+205909/205909*10)</f>
        <v>239</v>
      </c>
      <c r="G19" s="21">
        <f t="shared" si="0"/>
        <v>0</v>
      </c>
      <c r="H19" s="139">
        <f t="shared" si="9"/>
        <v>239</v>
      </c>
      <c r="I19" s="51">
        <f>742770.9*0+3/3*1115737.5*0+4/4*1377904.1*0+5/5*1182521.17*0+6/6*(2071102.93*0+2053405.9)*0+7/7*2083009.65*0+8/8*2275876.9*0+9/9*3376581.36*0+10/10*3584326.97*0+11/11*4604786.3*0+12/12*4259331.97-(93568.84+339026.4)-81/81*130000-91/91*(81000+(64000+153200))+2059/2059*10000-I18</f>
        <v>312536.7299999995</v>
      </c>
      <c r="J19" s="126"/>
      <c r="K19" s="155">
        <f t="shared" si="7"/>
        <v>312536.7299999995</v>
      </c>
      <c r="L19" s="47"/>
      <c r="M19" s="155">
        <f t="shared" si="10"/>
        <v>312536.7299999995</v>
      </c>
      <c r="N19" s="64" t="s">
        <v>156</v>
      </c>
      <c r="O19" s="190"/>
      <c r="P19" s="12"/>
      <c r="Q19" s="7"/>
      <c r="R19" s="7"/>
      <c r="S19" s="8">
        <f aca="true" t="shared" si="11" ref="S19:S24">P19+Q19</f>
        <v>0</v>
      </c>
      <c r="T19" s="139">
        <f t="shared" si="4"/>
        <v>0</v>
      </c>
      <c r="U19" s="181">
        <f>((((1076000+4/4*16000)*523/768)/12+333.33333*0-62.06597)*12+368.055547*0+5/5*460.069433*0+6/6*552.0833*0)+7/7*644.0972*0+8/8*(-263.8889*0+736.1111)*0+9/9*(-171.875*0+828.125)*0+10/10*(-79.8611*0+920.1389)*0+11/11*(12.1528+1000)*0+12/12*(104.1666+1000)-248000*4/4*0-310000*5/5*0-7/7*434000*0-9/9*557000*0</f>
        <v>743999.99996</v>
      </c>
    </row>
    <row r="20" spans="1:21" ht="12.75">
      <c r="A20" s="118"/>
      <c r="B20" s="6">
        <v>3141</v>
      </c>
      <c r="C20" s="59" t="s">
        <v>9</v>
      </c>
      <c r="D20" s="49">
        <f>1000*1.05-50</f>
        <v>1000</v>
      </c>
      <c r="E20" s="7"/>
      <c r="F20" s="7"/>
      <c r="G20" s="21">
        <f t="shared" si="0"/>
        <v>1000</v>
      </c>
      <c r="H20" s="139">
        <f t="shared" si="9"/>
        <v>1000</v>
      </c>
      <c r="I20" s="51">
        <f>166000*0+3/3*249000+6/6*251000+9/9*250000+11/11*250000</f>
        <v>1000000</v>
      </c>
      <c r="J20" s="126"/>
      <c r="K20" s="155">
        <f t="shared" si="7"/>
        <v>1000000</v>
      </c>
      <c r="L20" s="47">
        <f>584000-438000</f>
        <v>146000</v>
      </c>
      <c r="M20" s="155">
        <f t="shared" si="10"/>
        <v>1146000</v>
      </c>
      <c r="N20" s="64"/>
      <c r="O20" s="65"/>
      <c r="P20" s="17"/>
      <c r="Q20" s="179"/>
      <c r="R20" s="179"/>
      <c r="S20" s="8">
        <f t="shared" si="11"/>
        <v>0</v>
      </c>
      <c r="T20" s="139">
        <f t="shared" si="4"/>
        <v>0</v>
      </c>
      <c r="U20" s="181"/>
    </row>
    <row r="21" spans="1:21" ht="12.75">
      <c r="A21" s="47"/>
      <c r="B21" s="6"/>
      <c r="C21" s="119" t="s">
        <v>141</v>
      </c>
      <c r="D21" s="12"/>
      <c r="E21" s="7">
        <f>7/7*(99/99)*148</f>
        <v>148</v>
      </c>
      <c r="F21" s="7"/>
      <c r="G21" s="21">
        <f t="shared" si="0"/>
        <v>148</v>
      </c>
      <c r="H21" s="139">
        <f t="shared" si="9"/>
        <v>148</v>
      </c>
      <c r="I21" s="51">
        <f>216445.39*0+3/3*257322.9*0+4/4*271919.4*0+5/5*257346.31*0+6/6*660166.41*0+7/7*661537.61*0+8/8*668022.9*0+9/9*924836.8*0+10/10*937493.38*0+11/11*1184758.17*0+12/12*737682.91+(93568.84+339026.4)-I20</f>
        <v>170278.1499999999</v>
      </c>
      <c r="J21" s="126"/>
      <c r="K21" s="155">
        <f t="shared" si="7"/>
        <v>170278.1499999999</v>
      </c>
      <c r="L21" s="47"/>
      <c r="M21" s="155">
        <f t="shared" si="10"/>
        <v>170278.1499999999</v>
      </c>
      <c r="N21" s="67"/>
      <c r="O21" s="65"/>
      <c r="P21" s="17"/>
      <c r="Q21" s="179"/>
      <c r="R21" s="179"/>
      <c r="S21" s="8">
        <f t="shared" si="11"/>
        <v>0</v>
      </c>
      <c r="T21" s="139">
        <f t="shared" si="4"/>
        <v>0</v>
      </c>
      <c r="U21" s="181"/>
    </row>
    <row r="22" spans="1:21" ht="12.75">
      <c r="A22" s="47"/>
      <c r="B22" s="6">
        <v>3121</v>
      </c>
      <c r="C22" s="59" t="s">
        <v>41</v>
      </c>
      <c r="D22" s="12"/>
      <c r="E22" s="7"/>
      <c r="F22" s="7"/>
      <c r="G22" s="21">
        <f t="shared" si="0"/>
        <v>0</v>
      </c>
      <c r="H22" s="139">
        <f t="shared" si="9"/>
        <v>0</v>
      </c>
      <c r="I22" s="51">
        <f>69127.44*0+3/3*11405.22*0+4/4*31407.42*0+5/5*17496.72*0+6/6*16329.57*0+7/7*18208.56*0+8/8*20292.29*0+9/9*26151.36*0+10/10*28749.07*0+11/11*39747.04*0+12/12*19904.45</f>
        <v>19904.45</v>
      </c>
      <c r="J22" s="126"/>
      <c r="K22" s="155">
        <f t="shared" si="7"/>
        <v>19904.45</v>
      </c>
      <c r="L22" s="47"/>
      <c r="M22" s="155">
        <f t="shared" si="10"/>
        <v>19904.45</v>
      </c>
      <c r="N22" s="67"/>
      <c r="O22" s="65"/>
      <c r="P22" s="17"/>
      <c r="Q22" s="179"/>
      <c r="R22" s="179"/>
      <c r="S22" s="8">
        <f t="shared" si="11"/>
        <v>0</v>
      </c>
      <c r="T22" s="139">
        <f t="shared" si="4"/>
        <v>0</v>
      </c>
      <c r="U22" s="181"/>
    </row>
    <row r="23" spans="1:21" ht="12.75">
      <c r="A23" s="118"/>
      <c r="B23" s="6">
        <v>3231</v>
      </c>
      <c r="C23" s="59" t="s">
        <v>10</v>
      </c>
      <c r="D23" s="12"/>
      <c r="E23" s="7"/>
      <c r="F23" s="7">
        <f>12/12*140</f>
        <v>140</v>
      </c>
      <c r="G23" s="21">
        <f t="shared" si="0"/>
        <v>0</v>
      </c>
      <c r="H23" s="139">
        <f t="shared" si="9"/>
        <v>140</v>
      </c>
      <c r="I23" s="51">
        <f>8/8*89667*0+9/9*139982</f>
        <v>139982</v>
      </c>
      <c r="J23" s="126"/>
      <c r="K23" s="155">
        <f t="shared" si="7"/>
        <v>139982</v>
      </c>
      <c r="L23" s="47"/>
      <c r="M23" s="155">
        <f t="shared" si="10"/>
        <v>139982</v>
      </c>
      <c r="N23" s="67"/>
      <c r="O23" s="65"/>
      <c r="P23" s="17"/>
      <c r="Q23" s="179"/>
      <c r="R23" s="179"/>
      <c r="S23" s="8">
        <f t="shared" si="11"/>
        <v>0</v>
      </c>
      <c r="T23" s="139">
        <f t="shared" si="4"/>
        <v>0</v>
      </c>
      <c r="U23" s="181"/>
    </row>
    <row r="24" spans="1:21" ht="12.75">
      <c r="A24" s="97" t="s">
        <v>110</v>
      </c>
      <c r="B24" s="183">
        <f>H24+H122+H140+H141-2/2*0-3/3*(5585*0+5715)*0-4/4*5731*0-6/6*5822*0-7/7*5897*0-8/8*5988*0-10/10*6052*0-11/11*6205.2*0-12/12*11524.2</f>
        <v>2.999986463692039E-07</v>
      </c>
      <c r="C24" s="51">
        <f>I24+I122+I140+I141-1149343.73*0-3/3*1747465.62*0-4/4*2062318.92*0-5/5*1838452.2*0-6/6*(3500686.91*0+3482989.88)*0-7/7*3515843.82*0-8/8*3807267.2*0-9/9*5624959.63*0-10/10*5847959.53*0-11/11*7502681.62*0-12/12*11655303.44</f>
        <v>0</v>
      </c>
      <c r="D24" s="13">
        <f>SUM(D16:D23)</f>
        <v>5585</v>
      </c>
      <c r="E24" s="184">
        <f>SUM(E16:E23)</f>
        <v>182.0000003</v>
      </c>
      <c r="F24" s="184">
        <f>SUM(F16:F23)</f>
        <v>379</v>
      </c>
      <c r="G24" s="9">
        <f t="shared" si="0"/>
        <v>5767.0000003000005</v>
      </c>
      <c r="H24" s="184">
        <f aca="true" t="shared" si="12" ref="H24:M24">SUM(H16:H23)</f>
        <v>6146.0000003000005</v>
      </c>
      <c r="I24" s="117">
        <f t="shared" si="12"/>
        <v>6277103.44</v>
      </c>
      <c r="J24" s="154">
        <f t="shared" si="12"/>
        <v>0</v>
      </c>
      <c r="K24" s="155">
        <f t="shared" si="12"/>
        <v>6277103.44</v>
      </c>
      <c r="L24" s="154">
        <f t="shared" si="12"/>
        <v>1249500</v>
      </c>
      <c r="M24" s="155">
        <f t="shared" si="12"/>
        <v>7526603.44</v>
      </c>
      <c r="N24" s="64">
        <f>(T24-(T16+T18)+(T122+T140+T141)-Q16-Q18)-4/4*(2/2*0+3/3*130*0+10/10*275*0+11/11*428.2+12/12*4950)</f>
        <v>-16</v>
      </c>
      <c r="O24" s="191">
        <f>(U24-(U17+U19)+(U122+U140+U141))-4/4*((2/2*0+3/3*130000+6/6*81000+10/10*64000+11/11*153200+12/12*4950000))</f>
        <v>0</v>
      </c>
      <c r="P24" s="13">
        <f>SUM(P16:P23)</f>
        <v>1076</v>
      </c>
      <c r="Q24" s="184">
        <f>SUM(Q16:Q23)</f>
        <v>16</v>
      </c>
      <c r="R24" s="184">
        <f>SUM(R16:R23)</f>
        <v>0</v>
      </c>
      <c r="S24" s="9">
        <f t="shared" si="11"/>
        <v>1092</v>
      </c>
      <c r="T24" s="184">
        <f>SUM(T16:T23)</f>
        <v>1092</v>
      </c>
      <c r="U24" s="186">
        <f>SUM(U16:U23)</f>
        <v>1091999.99992</v>
      </c>
    </row>
    <row r="25" spans="1:21" ht="12.75" hidden="1">
      <c r="A25" s="5" t="s">
        <v>0</v>
      </c>
      <c r="B25" s="4">
        <v>3513</v>
      </c>
      <c r="C25" s="59" t="s">
        <v>147</v>
      </c>
      <c r="D25" s="12"/>
      <c r="E25" s="7"/>
      <c r="F25" s="7"/>
      <c r="G25" s="21">
        <f t="shared" si="0"/>
        <v>0</v>
      </c>
      <c r="H25" s="139">
        <f aca="true" t="shared" si="13" ref="H25:H30">G25+F25</f>
        <v>0</v>
      </c>
      <c r="I25" s="51"/>
      <c r="J25" s="126"/>
      <c r="K25" s="192"/>
      <c r="L25" s="193"/>
      <c r="M25" s="193"/>
      <c r="N25" s="64"/>
      <c r="O25" s="65"/>
      <c r="P25" s="17"/>
      <c r="Q25" s="179"/>
      <c r="R25" s="7"/>
      <c r="S25" s="8">
        <f aca="true" t="shared" si="14" ref="S25:S30">P25+Q25</f>
        <v>0</v>
      </c>
      <c r="T25" s="139">
        <f aca="true" t="shared" si="15" ref="T25:T30">S25+R25</f>
        <v>0</v>
      </c>
      <c r="U25" s="181"/>
    </row>
    <row r="26" spans="1:21" ht="12.75">
      <c r="A26" s="5" t="s">
        <v>0</v>
      </c>
      <c r="B26" s="4">
        <v>3541</v>
      </c>
      <c r="C26" s="59" t="s">
        <v>11</v>
      </c>
      <c r="D26" s="12"/>
      <c r="E26" s="7"/>
      <c r="F26" s="7"/>
      <c r="G26" s="21">
        <f t="shared" si="0"/>
        <v>0</v>
      </c>
      <c r="H26" s="139">
        <f t="shared" si="13"/>
        <v>0</v>
      </c>
      <c r="I26" s="51">
        <f>5000-3/3*81/81*5000</f>
        <v>0</v>
      </c>
      <c r="J26" s="194"/>
      <c r="K26" s="155">
        <f aca="true" t="shared" si="16" ref="K26:K34">I26+J26</f>
        <v>0</v>
      </c>
      <c r="L26" s="47"/>
      <c r="M26" s="155">
        <f aca="true" t="shared" si="17" ref="M26:M34">K26+L26</f>
        <v>0</v>
      </c>
      <c r="N26" s="66"/>
      <c r="O26" s="15" t="s">
        <v>60</v>
      </c>
      <c r="P26" s="12"/>
      <c r="Q26" s="7"/>
      <c r="R26" s="7"/>
      <c r="S26" s="8">
        <f t="shared" si="14"/>
        <v>0</v>
      </c>
      <c r="T26" s="139">
        <f t="shared" si="15"/>
        <v>0</v>
      </c>
      <c r="U26" s="181"/>
    </row>
    <row r="27" spans="1:21" ht="12.75">
      <c r="A27" s="5"/>
      <c r="B27" s="10" t="s">
        <v>12</v>
      </c>
      <c r="C27" s="59" t="s">
        <v>13</v>
      </c>
      <c r="D27" s="12"/>
      <c r="E27" s="7"/>
      <c r="F27" s="7"/>
      <c r="G27" s="21">
        <f t="shared" si="0"/>
        <v>0</v>
      </c>
      <c r="H27" s="139">
        <f t="shared" si="13"/>
        <v>0</v>
      </c>
      <c r="I27" s="51"/>
      <c r="J27" s="126"/>
      <c r="K27" s="155">
        <f t="shared" si="16"/>
        <v>0</v>
      </c>
      <c r="L27" s="47"/>
      <c r="M27" s="155">
        <f t="shared" si="17"/>
        <v>0</v>
      </c>
      <c r="N27" s="66" t="s">
        <v>91</v>
      </c>
      <c r="O27" s="15" t="s">
        <v>38</v>
      </c>
      <c r="P27" s="12"/>
      <c r="Q27" s="7"/>
      <c r="R27" s="7"/>
      <c r="S27" s="8">
        <f t="shared" si="14"/>
        <v>0</v>
      </c>
      <c r="T27" s="139">
        <f t="shared" si="15"/>
        <v>0</v>
      </c>
      <c r="U27" s="181">
        <f>-1272*0+3/3*3184*0+4/4*-1002*0+6/6*(5716+2792)*0+7/7*763*0+8/8*2272*0+9/9*(4185/4185*2548)*0+10/10*1666*0+11/11*(71/71*1000+85/85*498)+12/12*(-1498+71/71*569+85/85*5844)</f>
        <v>6413</v>
      </c>
    </row>
    <row r="28" spans="1:21" ht="12.75">
      <c r="A28" s="5"/>
      <c r="B28" s="10" t="s">
        <v>12</v>
      </c>
      <c r="C28" s="59" t="s">
        <v>1</v>
      </c>
      <c r="D28" s="12"/>
      <c r="E28" s="7"/>
      <c r="F28" s="7"/>
      <c r="G28" s="21">
        <f t="shared" si="0"/>
        <v>0</v>
      </c>
      <c r="H28" s="139">
        <f t="shared" si="13"/>
        <v>0</v>
      </c>
      <c r="I28" s="51"/>
      <c r="J28" s="126"/>
      <c r="K28" s="155">
        <f t="shared" si="16"/>
        <v>0</v>
      </c>
      <c r="L28" s="47"/>
      <c r="M28" s="155">
        <f t="shared" si="17"/>
        <v>0</v>
      </c>
      <c r="N28" s="66" t="s">
        <v>91</v>
      </c>
      <c r="O28" s="15" t="s">
        <v>39</v>
      </c>
      <c r="P28" s="12"/>
      <c r="Q28" s="7"/>
      <c r="R28" s="7"/>
      <c r="S28" s="8">
        <f t="shared" si="14"/>
        <v>0</v>
      </c>
      <c r="T28" s="139">
        <f t="shared" si="15"/>
        <v>0</v>
      </c>
      <c r="U28" s="181"/>
    </row>
    <row r="29" spans="1:21" ht="12.75">
      <c r="A29" s="47"/>
      <c r="B29" s="44" t="s">
        <v>95</v>
      </c>
      <c r="C29" s="59" t="s">
        <v>14</v>
      </c>
      <c r="D29" s="12">
        <v>120</v>
      </c>
      <c r="E29" s="7"/>
      <c r="F29" s="7">
        <f>12/12*252</f>
        <v>252</v>
      </c>
      <c r="G29" s="21">
        <f t="shared" si="0"/>
        <v>120</v>
      </c>
      <c r="H29" s="139">
        <f t="shared" si="13"/>
        <v>372</v>
      </c>
      <c r="I29" s="51">
        <f>22456.1*0+3/3*23287.15+4/4*2220+5/5*302+6/6*884.05+7/7*67150.55+8/8*890.05+9/9*746.05+10/10*(3296.69+6122/6122*274810)+11/11*-6097.95+12/12*10320.79</f>
        <v>377809.38</v>
      </c>
      <c r="J29" s="126"/>
      <c r="K29" s="155">
        <f t="shared" si="16"/>
        <v>377809.38</v>
      </c>
      <c r="L29" s="47"/>
      <c r="M29" s="155">
        <f t="shared" si="17"/>
        <v>377809.38</v>
      </c>
      <c r="N29" s="64"/>
      <c r="O29" s="15" t="s">
        <v>57</v>
      </c>
      <c r="P29" s="12"/>
      <c r="Q29" s="7"/>
      <c r="R29" s="7"/>
      <c r="S29" s="8">
        <f t="shared" si="14"/>
        <v>0</v>
      </c>
      <c r="T29" s="139">
        <f t="shared" si="15"/>
        <v>0</v>
      </c>
      <c r="U29" s="181"/>
    </row>
    <row r="30" spans="1:21" ht="12.75">
      <c r="A30" s="140"/>
      <c r="B30" s="44" t="s">
        <v>97</v>
      </c>
      <c r="C30" s="59" t="s">
        <v>15</v>
      </c>
      <c r="D30" s="12">
        <v>100</v>
      </c>
      <c r="E30" s="7"/>
      <c r="F30" s="7">
        <f>12/12*581</f>
        <v>581</v>
      </c>
      <c r="G30" s="21">
        <f t="shared" si="0"/>
        <v>100</v>
      </c>
      <c r="H30" s="139">
        <f t="shared" si="13"/>
        <v>681</v>
      </c>
      <c r="I30" s="51">
        <f>10064.2*0+3/3*12584.3+4/4*7147.1+5/5*1405+6/6*2424.1+7/7*84491.1+8/8*2252.1+9/9*1756.1+10/10*(9122.74+6122/6122*555925)+11/11*2288.1+12/12*8436.35</f>
        <v>687831.99</v>
      </c>
      <c r="J30" s="126"/>
      <c r="K30" s="155">
        <f t="shared" si="16"/>
        <v>687831.99</v>
      </c>
      <c r="L30" s="47"/>
      <c r="M30" s="155">
        <f t="shared" si="17"/>
        <v>687831.99</v>
      </c>
      <c r="N30" s="66"/>
      <c r="O30" s="15" t="s">
        <v>58</v>
      </c>
      <c r="P30" s="12"/>
      <c r="Q30" s="7"/>
      <c r="R30" s="7"/>
      <c r="S30" s="8">
        <f t="shared" si="14"/>
        <v>0</v>
      </c>
      <c r="T30" s="139">
        <f t="shared" si="15"/>
        <v>0</v>
      </c>
      <c r="U30" s="181"/>
    </row>
    <row r="31" spans="1:21" ht="12.75">
      <c r="A31" s="5"/>
      <c r="B31" s="44" t="s">
        <v>125</v>
      </c>
      <c r="C31" s="59" t="s">
        <v>126</v>
      </c>
      <c r="D31" s="12">
        <v>350</v>
      </c>
      <c r="E31" s="7"/>
      <c r="F31" s="7"/>
      <c r="G31" s="21">
        <f aca="true" t="shared" si="18" ref="G31:G38">D31+E31</f>
        <v>350</v>
      </c>
      <c r="H31" s="139">
        <f aca="true" t="shared" si="19" ref="H31:H38">G31+F31</f>
        <v>350</v>
      </c>
      <c r="I31" s="51">
        <f>25860*0+3/3*52368+4/4*28944+5/5*28104+6/6*27684+7/7*28728+8/8*29436+9/9*28776+10/10*27156+11/11*26976+12/12*27168</f>
        <v>305340</v>
      </c>
      <c r="J31" s="126"/>
      <c r="K31" s="155"/>
      <c r="L31" s="47"/>
      <c r="M31" s="155"/>
      <c r="N31" s="66"/>
      <c r="O31" s="15"/>
      <c r="P31" s="12"/>
      <c r="Q31" s="7"/>
      <c r="R31" s="7"/>
      <c r="S31" s="8">
        <f aca="true" t="shared" si="20" ref="S31:S38">P31+Q31</f>
        <v>0</v>
      </c>
      <c r="T31" s="139">
        <f aca="true" t="shared" si="21" ref="T31:T38">S31+R31</f>
        <v>0</v>
      </c>
      <c r="U31" s="181"/>
    </row>
    <row r="32" spans="1:21" ht="12.75">
      <c r="A32" s="47"/>
      <c r="B32" s="44" t="s">
        <v>94</v>
      </c>
      <c r="C32" s="59" t="s">
        <v>16</v>
      </c>
      <c r="D32" s="12">
        <f>2302+28</f>
        <v>2330</v>
      </c>
      <c r="E32" s="7"/>
      <c r="F32" s="7">
        <f>6/6*80+12/12*-267</f>
        <v>-187</v>
      </c>
      <c r="G32" s="21">
        <f t="shared" si="18"/>
        <v>2330</v>
      </c>
      <c r="H32" s="139">
        <f>G32+F32+744*0</f>
        <v>2143</v>
      </c>
      <c r="I32" s="51">
        <f>316588.6*0+3/3*499161.31*0+4/4*774284.66*0+5/5*948360.91*0+6/6*1120347.71*0+7/7*1489753.81*0+8/8*1704083.04*0+1879914.28*0+10/10*1954182.58*0+11/11*2146543.03*0+12/12*(2497302.37-13305/13305*744000)+9021/9021*(645.65*0+3/3*637.39*0+4/4*635.53*0+6/6*597.24*0+7/7*634.03*0+8/8*635.53*0+9/9*1276.25*0+10/10*1269.56*0+11/11*2678.22*0+12/12*635.53)+2/2*(3752*0+3/3*7504*0+4/4*11256*0+5/5*15008*0+6/6*18760*0+7/7*22512*0+8/8*26264*0+9/9*24416*0+10/10*27468*0+11/11*30520*0+12/12*-8400)</f>
        <v>1745537.9000000001</v>
      </c>
      <c r="J32" s="126">
        <f>-25200/9*12*(1+0.26+0.09)</f>
        <v>-45360</v>
      </c>
      <c r="K32" s="155">
        <f t="shared" si="16"/>
        <v>1700177.9000000001</v>
      </c>
      <c r="L32" s="47">
        <f>105000*(1+0.26+0.09+0.03)*3</f>
        <v>434700</v>
      </c>
      <c r="M32" s="155">
        <f t="shared" si="17"/>
        <v>2134877.9000000004</v>
      </c>
      <c r="N32" s="66"/>
      <c r="O32" s="15" t="s">
        <v>59</v>
      </c>
      <c r="P32" s="12">
        <v>480</v>
      </c>
      <c r="Q32" s="7"/>
      <c r="R32" s="7"/>
      <c r="S32" s="8">
        <f t="shared" si="20"/>
        <v>480</v>
      </c>
      <c r="T32" s="139">
        <f t="shared" si="21"/>
        <v>480</v>
      </c>
      <c r="U32" s="181">
        <f>72620+3/3*31361+4/4*38734+5/5*37662+6/6*41835+7/7*40472+8/8*39063+9/9*36810+10/10*47139+11/11*35257+12/12*46219</f>
        <v>467172</v>
      </c>
    </row>
    <row r="33" spans="1:21" ht="12.75">
      <c r="A33" s="47"/>
      <c r="B33" s="4">
        <v>4319</v>
      </c>
      <c r="C33" s="59" t="s">
        <v>17</v>
      </c>
      <c r="D33" s="12"/>
      <c r="E33" s="7"/>
      <c r="F33" s="7">
        <f>12/12*50</f>
        <v>50</v>
      </c>
      <c r="G33" s="21">
        <f t="shared" si="18"/>
        <v>0</v>
      </c>
      <c r="H33" s="139">
        <f t="shared" si="19"/>
        <v>50</v>
      </c>
      <c r="I33" s="51">
        <f>9654*0+3/3*14496*0+4/4*18976*0+5/5*22714*0+6/6*26372*0+7/7*30576*0+8/8*34240*0+9/9*37930*0+10/10*41570*0+11/11*45250+12/12*3752</f>
        <v>49002</v>
      </c>
      <c r="J33" s="126"/>
      <c r="K33" s="155">
        <f t="shared" si="16"/>
        <v>49002</v>
      </c>
      <c r="L33" s="47"/>
      <c r="M33" s="155">
        <f t="shared" si="17"/>
        <v>49002</v>
      </c>
      <c r="N33" s="66"/>
      <c r="O33" s="45" t="s">
        <v>72</v>
      </c>
      <c r="P33" s="12"/>
      <c r="Q33" s="7"/>
      <c r="R33" s="7"/>
      <c r="S33" s="8">
        <f t="shared" si="20"/>
        <v>0</v>
      </c>
      <c r="T33" s="139">
        <f t="shared" si="21"/>
        <v>0</v>
      </c>
      <c r="U33" s="181"/>
    </row>
    <row r="34" spans="1:21" ht="12.75">
      <c r="A34" s="5" t="s">
        <v>72</v>
      </c>
      <c r="B34" s="53" t="s">
        <v>104</v>
      </c>
      <c r="C34" s="101" t="s">
        <v>219</v>
      </c>
      <c r="D34" s="12"/>
      <c r="E34" s="7"/>
      <c r="F34" s="7">
        <f>12/12*15+12/12*19*0</f>
        <v>15</v>
      </c>
      <c r="G34" s="21">
        <f t="shared" si="18"/>
        <v>0</v>
      </c>
      <c r="H34" s="139">
        <f t="shared" si="19"/>
        <v>15</v>
      </c>
      <c r="I34" s="51">
        <f>731*0+4/4*2343*0+5/5*2758*0+6/6*1624+7/7*5390+8/8*4000+9/9*(-7890+1141)+10/10*441+11/11*9200+12/12*4308</f>
        <v>18214</v>
      </c>
      <c r="J34" s="126"/>
      <c r="K34" s="155">
        <f t="shared" si="16"/>
        <v>18214</v>
      </c>
      <c r="L34" s="47"/>
      <c r="M34" s="155">
        <f t="shared" si="17"/>
        <v>18214</v>
      </c>
      <c r="N34" s="66"/>
      <c r="O34" s="65"/>
      <c r="P34" s="12"/>
      <c r="Q34" s="7"/>
      <c r="R34" s="7"/>
      <c r="S34" s="8">
        <f t="shared" si="20"/>
        <v>0</v>
      </c>
      <c r="T34" s="139">
        <f t="shared" si="21"/>
        <v>0</v>
      </c>
      <c r="U34" s="181"/>
    </row>
    <row r="35" spans="1:21" ht="12.75">
      <c r="A35" s="47"/>
      <c r="B35" s="10">
        <v>4329</v>
      </c>
      <c r="C35" s="101" t="s">
        <v>152</v>
      </c>
      <c r="D35" s="12"/>
      <c r="E35" s="7">
        <f>7/7*(99/99)*50</f>
        <v>50</v>
      </c>
      <c r="F35" s="7">
        <f>12/12*-16</f>
        <v>-16</v>
      </c>
      <c r="G35" s="21">
        <f t="shared" si="18"/>
        <v>50</v>
      </c>
      <c r="H35" s="139">
        <f t="shared" si="19"/>
        <v>34</v>
      </c>
      <c r="I35" s="51">
        <f>6/6*1500+70809/70809*-4700+7/7*42100+9/9*7890+10/10*(2300-15400)</f>
        <v>33690</v>
      </c>
      <c r="J35" s="126"/>
      <c r="K35" s="155"/>
      <c r="L35" s="47"/>
      <c r="M35" s="155"/>
      <c r="N35" s="66"/>
      <c r="O35" s="65"/>
      <c r="P35" s="12"/>
      <c r="Q35" s="7"/>
      <c r="R35" s="7"/>
      <c r="S35" s="8">
        <f t="shared" si="20"/>
        <v>0</v>
      </c>
      <c r="T35" s="139">
        <f t="shared" si="21"/>
        <v>0</v>
      </c>
      <c r="U35" s="181"/>
    </row>
    <row r="36" spans="1:21" ht="12.75">
      <c r="A36" s="47"/>
      <c r="B36" s="44">
        <v>4359</v>
      </c>
      <c r="C36" s="59" t="s">
        <v>192</v>
      </c>
      <c r="D36" s="12"/>
      <c r="E36" s="7"/>
      <c r="F36" s="7"/>
      <c r="G36" s="21">
        <f t="shared" si="18"/>
        <v>0</v>
      </c>
      <c r="H36" s="139">
        <f t="shared" si="19"/>
        <v>0</v>
      </c>
      <c r="I36" s="51">
        <f>4/4*5800</f>
        <v>5800</v>
      </c>
      <c r="J36" s="126"/>
      <c r="K36" s="155"/>
      <c r="L36" s="47"/>
      <c r="M36" s="155"/>
      <c r="N36" s="68"/>
      <c r="O36" s="15"/>
      <c r="P36" s="12"/>
      <c r="Q36" s="7"/>
      <c r="R36" s="7"/>
      <c r="S36" s="8">
        <f t="shared" si="20"/>
        <v>0</v>
      </c>
      <c r="T36" s="139">
        <f t="shared" si="21"/>
        <v>0</v>
      </c>
      <c r="U36" s="181"/>
    </row>
    <row r="37" spans="1:21" ht="12.75">
      <c r="A37" s="47"/>
      <c r="B37" s="4">
        <v>4379</v>
      </c>
      <c r="C37" s="59" t="s">
        <v>93</v>
      </c>
      <c r="D37" s="12"/>
      <c r="E37" s="7"/>
      <c r="F37" s="7">
        <f>12/12*131</f>
        <v>131</v>
      </c>
      <c r="G37" s="21">
        <f t="shared" si="18"/>
        <v>0</v>
      </c>
      <c r="H37" s="139">
        <f t="shared" si="19"/>
        <v>131</v>
      </c>
      <c r="I37" s="51">
        <f>2250*0+3/3*5250+4/4*13040+5/5*9530+6/6*43644.1+7/7*3000+8/8*-15000+9/9*8970+10/10*38470+11/11*23183+12/12*9941</f>
        <v>140028.1</v>
      </c>
      <c r="J37" s="126"/>
      <c r="K37" s="155">
        <f>I37+J37</f>
        <v>140028.1</v>
      </c>
      <c r="L37" s="47"/>
      <c r="M37" s="155">
        <f>K37+L37</f>
        <v>140028.1</v>
      </c>
      <c r="N37" s="68"/>
      <c r="O37" s="15"/>
      <c r="P37" s="12"/>
      <c r="Q37" s="7"/>
      <c r="R37" s="7"/>
      <c r="S37" s="8">
        <f t="shared" si="20"/>
        <v>0</v>
      </c>
      <c r="T37" s="139">
        <f t="shared" si="21"/>
        <v>0</v>
      </c>
      <c r="U37" s="181"/>
    </row>
    <row r="38" spans="1:21" ht="12.75">
      <c r="A38" s="47"/>
      <c r="B38" s="4">
        <v>4379</v>
      </c>
      <c r="C38" s="59" t="s">
        <v>142</v>
      </c>
      <c r="D38" s="12"/>
      <c r="E38" s="7"/>
      <c r="F38" s="7">
        <f>12/12*29</f>
        <v>29</v>
      </c>
      <c r="G38" s="21">
        <f t="shared" si="18"/>
        <v>0</v>
      </c>
      <c r="H38" s="139">
        <f t="shared" si="19"/>
        <v>29</v>
      </c>
      <c r="I38" s="51">
        <f>12/12*21250</f>
        <v>21250</v>
      </c>
      <c r="J38" s="126"/>
      <c r="K38" s="155"/>
      <c r="L38" s="47"/>
      <c r="M38" s="155"/>
      <c r="N38" s="68"/>
      <c r="O38" s="15"/>
      <c r="P38" s="12"/>
      <c r="Q38" s="7"/>
      <c r="R38" s="7"/>
      <c r="S38" s="8">
        <f t="shared" si="20"/>
        <v>0</v>
      </c>
      <c r="T38" s="139">
        <f t="shared" si="21"/>
        <v>0</v>
      </c>
      <c r="U38" s="181"/>
    </row>
    <row r="39" spans="1:21" ht="12.75">
      <c r="A39" s="98" t="s">
        <v>111</v>
      </c>
      <c r="B39" s="195">
        <f>(H39+E119+E120+E121+E129)-2/2*0-3/3*(2900*0+22160)*0-6/6*22240*0-7/7*22210*0-8/8*22290*0-10/10*26192*0-11/11*27745*0-12/12*29724</f>
        <v>0</v>
      </c>
      <c r="C39" s="51">
        <f>(I39+I119+I120+I121+(I127-150100)+I129)-2/2*4573499.55*0-3/3*7038767.15*0-4/4*9445675.74*0-5/5*11746002.46*0-6/6*(13957240.75*0+13952906.75)*0-7/7*16845097.29*0-8/8*18978464.17*0-9/9*21143100.28*0-10/10*24033111.32*0-11/11*(26012136.58*0+12/12*28388223.37+3541/3541*6171/6171*4000)</f>
        <v>0</v>
      </c>
      <c r="D39" s="13">
        <f>SUM(D25:D38)</f>
        <v>2900</v>
      </c>
      <c r="E39" s="184">
        <f>SUM(E25:E38)</f>
        <v>50</v>
      </c>
      <c r="F39" s="184">
        <f>SUM(F25:F38)</f>
        <v>855</v>
      </c>
      <c r="G39" s="9">
        <f t="shared" si="0"/>
        <v>2950</v>
      </c>
      <c r="H39" s="184">
        <f aca="true" t="shared" si="22" ref="H39:M39">SUM(H25:H38)</f>
        <v>3805</v>
      </c>
      <c r="I39" s="117">
        <f t="shared" si="22"/>
        <v>3384503.3700000006</v>
      </c>
      <c r="J39" s="154">
        <f t="shared" si="22"/>
        <v>-45360</v>
      </c>
      <c r="K39" s="155">
        <f t="shared" si="22"/>
        <v>2973063.3700000006</v>
      </c>
      <c r="L39" s="154">
        <f t="shared" si="22"/>
        <v>434700</v>
      </c>
      <c r="M39" s="155">
        <f t="shared" si="22"/>
        <v>3407763.3700000006</v>
      </c>
      <c r="N39" s="64">
        <f>(T39+T119+T120+T121+3/3*T129)-(2/2*0+3/3*(480*0+19740)*0+10/10*23642*0+11/11*25195*0+12/12*26399)</f>
        <v>0</v>
      </c>
      <c r="O39" s="191">
        <f>U39+U119+U120+U121+U129-(2/2*6071348*0+3/3*7678565*0+4/4*9924113*0+5/5*12478775*0+6/6*(14227328*0+14230120)*0+7/7*16223247*0+8/8*17561819*0+9/9*20121905*0+10/10*22826162*0+11/11*24914251*0+12/12*26392585)</f>
        <v>0</v>
      </c>
      <c r="P39" s="13">
        <f>SUM(P25:P38)</f>
        <v>480</v>
      </c>
      <c r="Q39" s="184">
        <f>SUM(Q25:Q38)</f>
        <v>0</v>
      </c>
      <c r="R39" s="184">
        <f>SUM(R25:R38)</f>
        <v>0</v>
      </c>
      <c r="S39" s="9">
        <f aca="true" t="shared" si="23" ref="S39:S69">P39+Q39</f>
        <v>480</v>
      </c>
      <c r="T39" s="184">
        <f>SUM(T25:T38)</f>
        <v>480</v>
      </c>
      <c r="U39" s="186">
        <f>SUM(U25:U38)</f>
        <v>473585</v>
      </c>
    </row>
    <row r="40" spans="1:21" ht="12.75">
      <c r="A40" s="5" t="s">
        <v>19</v>
      </c>
      <c r="B40" s="6">
        <v>3313</v>
      </c>
      <c r="C40" s="59" t="s">
        <v>20</v>
      </c>
      <c r="D40" s="12">
        <v>622</v>
      </c>
      <c r="E40" s="7"/>
      <c r="F40" s="7">
        <f>12/12*14</f>
        <v>14</v>
      </c>
      <c r="G40" s="21">
        <f t="shared" si="0"/>
        <v>622</v>
      </c>
      <c r="H40" s="139">
        <f aca="true" t="shared" si="24" ref="H40:H50">G40+F40</f>
        <v>636</v>
      </c>
      <c r="I40" s="51">
        <f>104777.05*0+3/3*184585.05*0+4/4*278839.95*0+5/5*346708.55*0+6/6*(417047.3*0+418458.3)*0+7/7*515318.18*0+8/8*580119.17*0+9/9*643925.22*0+10/10*715659.91*0+11/11*797167.86*0+12/12*613676.71+1/1*(522*0+4/4*1123*0+7/7*1712*0+10/10*2311)*0</f>
        <v>613676.71</v>
      </c>
      <c r="J40" s="126">
        <f>-(205549*0+272471)*(1+0.26+0.09)-1847.54-652.61</f>
        <v>-370336</v>
      </c>
      <c r="K40" s="155">
        <f>I40+J40</f>
        <v>243340.70999999996</v>
      </c>
      <c r="L40" s="47">
        <f>34000*(1+0.26+0.09+0.03)*3</f>
        <v>140760.00000000003</v>
      </c>
      <c r="M40" s="155">
        <f>K40+L40</f>
        <v>384100.70999999996</v>
      </c>
      <c r="N40" s="77"/>
      <c r="O40" s="65"/>
      <c r="P40" s="12"/>
      <c r="Q40" s="7"/>
      <c r="R40" s="7"/>
      <c r="S40" s="8">
        <f t="shared" si="23"/>
        <v>0</v>
      </c>
      <c r="T40" s="139">
        <f aca="true" t="shared" si="25" ref="T40:T53">S40+R40</f>
        <v>0</v>
      </c>
      <c r="U40" s="181">
        <f>1290*0+2054*0+4/4*935*0+5/5*1763+6/6*(38095*0+679)+7/7*(-2442+263)+9/9*(-263+995)+10/10*(-995+37083)+11/11*(-37083+7137)+12/12*-7137</f>
        <v>0</v>
      </c>
    </row>
    <row r="41" spans="1:21" ht="12.75">
      <c r="A41" s="47"/>
      <c r="B41" s="6">
        <v>3314</v>
      </c>
      <c r="C41" s="59" t="s">
        <v>21</v>
      </c>
      <c r="D41" s="12">
        <v>1828</v>
      </c>
      <c r="E41" s="7"/>
      <c r="F41" s="7">
        <f>12/12*-13-27</f>
        <v>-40</v>
      </c>
      <c r="G41" s="21">
        <f t="shared" si="0"/>
        <v>1828</v>
      </c>
      <c r="H41" s="139">
        <f t="shared" si="24"/>
        <v>1788</v>
      </c>
      <c r="I41" s="51">
        <f>203739.84*0+3/3*346159.25*0+4/4*551995.59*0+5/5*(674493.72*0+6/6*(804069.88*0+804666.88)*0+7/7*980987.32*0+8/8*1155914.3*0+9/9*1269259.95*0+10/10*1463967.44*0+11/11*1602035.2*0+12/12*1865634.94-81/81*44300)+1/1*(1026*0+4/4*2171*0+7/7*3262*0+10/10*4342)*0</f>
        <v>1821334.94</v>
      </c>
      <c r="J41" s="126"/>
      <c r="K41" s="155">
        <f>I41+J41</f>
        <v>1821334.94</v>
      </c>
      <c r="L41" s="47">
        <f>81000*(1+0.26+0.09+0.03)*3</f>
        <v>335340.00000000006</v>
      </c>
      <c r="M41" s="155">
        <f>K41+L41</f>
        <v>2156674.94</v>
      </c>
      <c r="N41" s="77"/>
      <c r="O41" s="65"/>
      <c r="P41" s="12">
        <v>130</v>
      </c>
      <c r="Q41" s="7"/>
      <c r="R41" s="7"/>
      <c r="S41" s="8">
        <f>P41+Q41</f>
        <v>130</v>
      </c>
      <c r="T41" s="139">
        <f t="shared" si="25"/>
        <v>130</v>
      </c>
      <c r="U41" s="181">
        <f>27676*0+3/3*38108+5/5*15182+6/6*(0+9661)+9/9*1040+10/10*25570+12/12*38588</f>
        <v>128149</v>
      </c>
    </row>
    <row r="42" spans="1:21" ht="12.75">
      <c r="A42" s="47"/>
      <c r="B42" s="82" t="s">
        <v>105</v>
      </c>
      <c r="C42" s="59" t="s">
        <v>120</v>
      </c>
      <c r="D42" s="12">
        <f>12+16</f>
        <v>28</v>
      </c>
      <c r="E42" s="7"/>
      <c r="F42" s="7">
        <f>716/716*12/12*10</f>
        <v>10</v>
      </c>
      <c r="G42" s="21">
        <f aca="true" t="shared" si="26" ref="G42:G48">D42+E42</f>
        <v>28</v>
      </c>
      <c r="H42" s="139">
        <f t="shared" si="24"/>
        <v>38</v>
      </c>
      <c r="I42" s="51">
        <f>715/715*(1000*0+3/3*2000*0+4/4*3000*0+5/5*4000*0+6/6*5000*0+7/7*6000*0+8/8*7000*0+9/9*8000+10/10*1000+11/11*1000+12/12*1000*2)+716/716*(3/3*2333*0+4/4*17693*0+5/5*17983*0+6/6*20466.97*0+7/7*20616.97*0+8/8*24534.45*0+11/11*25139.45*0+12/12*25537.45)</f>
        <v>37537.45</v>
      </c>
      <c r="J42" s="126"/>
      <c r="K42" s="155">
        <f>I42+J42</f>
        <v>37537.45</v>
      </c>
      <c r="L42" s="47">
        <f>1000*(1+0.26+0.09+0.03)*3</f>
        <v>4140.000000000001</v>
      </c>
      <c r="M42" s="155">
        <f>K42+L42</f>
        <v>41677.45</v>
      </c>
      <c r="N42" s="77"/>
      <c r="O42" s="65"/>
      <c r="P42" s="12"/>
      <c r="Q42" s="7"/>
      <c r="R42" s="7"/>
      <c r="S42" s="8">
        <f t="shared" si="23"/>
        <v>0</v>
      </c>
      <c r="T42" s="139">
        <f t="shared" si="25"/>
        <v>0</v>
      </c>
      <c r="U42" s="181"/>
    </row>
    <row r="43" spans="1:21" ht="12.75">
      <c r="A43" s="47"/>
      <c r="B43" s="6">
        <v>3319</v>
      </c>
      <c r="C43" s="59" t="s">
        <v>22</v>
      </c>
      <c r="D43" s="12">
        <v>572</v>
      </c>
      <c r="E43" s="7">
        <f>7/7*99/99*60</f>
        <v>60</v>
      </c>
      <c r="F43" s="7">
        <f>12/12*584</f>
        <v>584</v>
      </c>
      <c r="G43" s="21">
        <f t="shared" si="26"/>
        <v>632</v>
      </c>
      <c r="H43" s="139">
        <f t="shared" si="24"/>
        <v>1216</v>
      </c>
      <c r="I43" s="51">
        <f>99972.5*0+3/3*173463.67*0+4/4*260848.52*0+5/5*349971.52*0+6/6*409686.62*0+7/7*511286.67*0+8/8*667864.72*0+9/9*1003548.77*0+10/10*1201930.53*0+11/11*1256329.57*0+12/12*1233051.52+1/1*(366*0+4/4*774*0+7/7*1133*0+10/10*1477)*0+3231/3231*7/7*6376*0*8/8</f>
        <v>1233051.52</v>
      </c>
      <c r="J43" s="126">
        <f>-(108774*0+102063)*(1+0.26+0.09)-707.62-296.33</f>
        <v>-138789</v>
      </c>
      <c r="K43" s="155">
        <f>I43+J43</f>
        <v>1094262.52</v>
      </c>
      <c r="L43" s="47">
        <f>29000*(1+0.26+0.09+0.03)*3</f>
        <v>120060</v>
      </c>
      <c r="M43" s="155">
        <f>K43+L43</f>
        <v>1214322.52</v>
      </c>
      <c r="N43" s="77"/>
      <c r="O43" s="65"/>
      <c r="P43" s="12">
        <v>140</v>
      </c>
      <c r="Q43" s="7"/>
      <c r="R43" s="7"/>
      <c r="S43" s="8">
        <f t="shared" si="23"/>
        <v>140</v>
      </c>
      <c r="T43" s="139">
        <f t="shared" si="25"/>
        <v>140</v>
      </c>
      <c r="U43" s="181">
        <f>2550*0+3/3*11700+9/9*45300+10/10*57400+11/11*18100+12/12*16000</f>
        <v>148500</v>
      </c>
    </row>
    <row r="44" spans="1:21" ht="12.75" hidden="1">
      <c r="A44" s="47"/>
      <c r="B44" s="6"/>
      <c r="C44" s="59" t="s">
        <v>135</v>
      </c>
      <c r="D44" s="12"/>
      <c r="E44" s="7"/>
      <c r="F44" s="7"/>
      <c r="G44" s="21">
        <f t="shared" si="26"/>
        <v>0</v>
      </c>
      <c r="H44" s="139">
        <f t="shared" si="24"/>
        <v>0</v>
      </c>
      <c r="I44" s="51"/>
      <c r="J44" s="126"/>
      <c r="K44" s="155"/>
      <c r="L44" s="47"/>
      <c r="M44" s="155"/>
      <c r="N44" s="77"/>
      <c r="O44" s="65"/>
      <c r="P44" s="12"/>
      <c r="Q44" s="7"/>
      <c r="R44" s="7"/>
      <c r="S44" s="8">
        <f>P44+Q44</f>
        <v>0</v>
      </c>
      <c r="T44" s="139">
        <f t="shared" si="25"/>
        <v>0</v>
      </c>
      <c r="U44" s="181"/>
    </row>
    <row r="45" spans="1:21" ht="12.75">
      <c r="A45" s="47"/>
      <c r="B45" s="6">
        <v>3319</v>
      </c>
      <c r="C45" s="59" t="s">
        <v>212</v>
      </c>
      <c r="D45" s="12"/>
      <c r="E45" s="7"/>
      <c r="F45" s="7">
        <f>12/12*6</f>
        <v>6</v>
      </c>
      <c r="G45" s="21">
        <f>D45+E45</f>
        <v>0</v>
      </c>
      <c r="H45" s="139">
        <f t="shared" si="24"/>
        <v>6</v>
      </c>
      <c r="I45" s="51">
        <f>12/12*5630</f>
        <v>5630</v>
      </c>
      <c r="J45" s="126"/>
      <c r="K45" s="155"/>
      <c r="L45" s="47"/>
      <c r="M45" s="155"/>
      <c r="N45" s="77"/>
      <c r="O45" s="65"/>
      <c r="P45" s="12"/>
      <c r="Q45" s="7"/>
      <c r="R45" s="7"/>
      <c r="S45" s="8"/>
      <c r="T45" s="139"/>
      <c r="U45" s="181">
        <f>12/12*6997</f>
        <v>6997</v>
      </c>
    </row>
    <row r="46" spans="1:21" ht="12.75">
      <c r="A46" s="47"/>
      <c r="B46" s="82" t="s">
        <v>178</v>
      </c>
      <c r="C46" s="59" t="s">
        <v>127</v>
      </c>
      <c r="D46" s="12"/>
      <c r="E46" s="7"/>
      <c r="F46" s="7">
        <f>6/6*13+12/12*-10</f>
        <v>3</v>
      </c>
      <c r="G46" s="21">
        <f t="shared" si="26"/>
        <v>0</v>
      </c>
      <c r="H46" s="139">
        <f t="shared" si="24"/>
        <v>3</v>
      </c>
      <c r="I46" s="51">
        <f>6/6*3001</f>
        <v>3001</v>
      </c>
      <c r="J46" s="126"/>
      <c r="K46" s="155"/>
      <c r="L46" s="47"/>
      <c r="M46" s="155"/>
      <c r="N46" s="77"/>
      <c r="O46" s="65"/>
      <c r="P46" s="12"/>
      <c r="Q46" s="7"/>
      <c r="R46" s="7"/>
      <c r="S46" s="8"/>
      <c r="T46" s="139"/>
      <c r="U46" s="181"/>
    </row>
    <row r="47" spans="1:21" ht="12.75">
      <c r="A47" s="47"/>
      <c r="B47" s="82" t="s">
        <v>179</v>
      </c>
      <c r="C47" s="59" t="s">
        <v>175</v>
      </c>
      <c r="D47" s="12"/>
      <c r="E47" s="7"/>
      <c r="F47" s="7">
        <f>6/6*21+12/12*19</f>
        <v>40</v>
      </c>
      <c r="G47" s="21">
        <f t="shared" si="26"/>
        <v>0</v>
      </c>
      <c r="H47" s="139">
        <f t="shared" si="24"/>
        <v>40</v>
      </c>
      <c r="I47" s="51">
        <f>6/6*(36509*0+36486)+8/8*3528</f>
        <v>40014</v>
      </c>
      <c r="J47" s="126"/>
      <c r="K47" s="155"/>
      <c r="L47" s="47"/>
      <c r="M47" s="155"/>
      <c r="N47" s="77"/>
      <c r="O47" s="65"/>
      <c r="P47" s="12"/>
      <c r="Q47" s="7"/>
      <c r="R47" s="7"/>
      <c r="S47" s="8"/>
      <c r="T47" s="139"/>
      <c r="U47" s="181"/>
    </row>
    <row r="48" spans="1:21" ht="12.75">
      <c r="A48" s="47"/>
      <c r="B48" s="82" t="s">
        <v>180</v>
      </c>
      <c r="C48" s="59" t="s">
        <v>130</v>
      </c>
      <c r="D48" s="12"/>
      <c r="E48" s="7"/>
      <c r="F48" s="7">
        <f>12/12*5</f>
        <v>5</v>
      </c>
      <c r="G48" s="21">
        <f t="shared" si="26"/>
        <v>0</v>
      </c>
      <c r="H48" s="139">
        <f t="shared" si="24"/>
        <v>5</v>
      </c>
      <c r="I48" s="51">
        <f>6/6*(5000*0+4997)</f>
        <v>4997</v>
      </c>
      <c r="J48" s="126"/>
      <c r="K48" s="155"/>
      <c r="L48" s="47"/>
      <c r="M48" s="155"/>
      <c r="N48" s="77"/>
      <c r="O48" s="65"/>
      <c r="P48" s="12"/>
      <c r="Q48" s="7"/>
      <c r="R48" s="7"/>
      <c r="S48" s="8"/>
      <c r="T48" s="139"/>
      <c r="U48" s="181"/>
    </row>
    <row r="49" spans="1:21" ht="12.75">
      <c r="A49" s="47"/>
      <c r="B49" s="82" t="s">
        <v>190</v>
      </c>
      <c r="C49" s="59" t="s">
        <v>189</v>
      </c>
      <c r="D49" s="12"/>
      <c r="E49" s="7"/>
      <c r="F49" s="7"/>
      <c r="G49" s="21"/>
      <c r="H49" s="139">
        <f t="shared" si="24"/>
        <v>0</v>
      </c>
      <c r="I49" s="51">
        <f>3319/3319*9/9*190909/190909*398</f>
        <v>398</v>
      </c>
      <c r="J49" s="126"/>
      <c r="K49" s="155"/>
      <c r="L49" s="47"/>
      <c r="M49" s="155"/>
      <c r="N49" s="77"/>
      <c r="O49" s="65"/>
      <c r="P49" s="12"/>
      <c r="Q49" s="7"/>
      <c r="R49" s="7"/>
      <c r="S49" s="8"/>
      <c r="T49" s="139"/>
      <c r="U49" s="181"/>
    </row>
    <row r="50" spans="1:21" ht="12.75">
      <c r="A50" s="47"/>
      <c r="B50" s="82" t="s">
        <v>195</v>
      </c>
      <c r="C50" s="59" t="s">
        <v>196</v>
      </c>
      <c r="D50" s="12"/>
      <c r="E50" s="7"/>
      <c r="F50" s="7">
        <f>12/12*20</f>
        <v>20</v>
      </c>
      <c r="G50" s="21">
        <f>D50+E50</f>
        <v>0</v>
      </c>
      <c r="H50" s="139">
        <f t="shared" si="24"/>
        <v>20</v>
      </c>
      <c r="I50" s="51">
        <f>10/10*15500+11/11*4080</f>
        <v>19580</v>
      </c>
      <c r="J50" s="126"/>
      <c r="K50" s="155"/>
      <c r="L50" s="47"/>
      <c r="M50" s="155"/>
      <c r="N50" s="77"/>
      <c r="O50" s="65"/>
      <c r="P50" s="12"/>
      <c r="Q50" s="7"/>
      <c r="R50" s="7"/>
      <c r="S50" s="8"/>
      <c r="T50" s="139"/>
      <c r="U50" s="181"/>
    </row>
    <row r="51" spans="1:21" ht="33" customHeight="1">
      <c r="A51" s="47"/>
      <c r="B51" s="6">
        <v>3412</v>
      </c>
      <c r="C51" s="59" t="s">
        <v>143</v>
      </c>
      <c r="D51" s="12">
        <v>33200</v>
      </c>
      <c r="E51" s="7"/>
      <c r="F51" s="7">
        <f>12/12*9951</f>
        <v>9951</v>
      </c>
      <c r="G51" s="21">
        <f aca="true" t="shared" si="27" ref="G51:G58">D51+E51</f>
        <v>33200</v>
      </c>
      <c r="H51" s="139">
        <f>G51+F51+21500*0</f>
        <v>43151</v>
      </c>
      <c r="I51" s="51">
        <f>16/16*((830*0+4/4*(0+38447.4*0+5/5*10474.24+13400+6/6*(10657.08+1476)+7/7*62326.28+8/8*13446+9/9*18657.44+1011/1011*59550))+8233/8233*(20022239.7+3/3*80000+4/4*(7426508+3927320.2)+5/5*105133+6/6*10029208.1+7/7*8816249.45+8/8*1183427.5+9/9*1600722.35+10/10*6064841+11/11*-55170+12/12*(5000000+61880)-I139))+3412/3412*(7/7*449*0+8/8*238815*0+11/11*292281.58)*0</f>
        <v>42952346.34</v>
      </c>
      <c r="J51" s="126"/>
      <c r="K51" s="155"/>
      <c r="L51" s="47"/>
      <c r="M51" s="155"/>
      <c r="N51" s="77"/>
      <c r="O51" s="65"/>
      <c r="P51" s="12"/>
      <c r="Q51" s="7"/>
      <c r="R51" s="7"/>
      <c r="S51" s="8">
        <f>P51+Q51</f>
        <v>0</v>
      </c>
      <c r="T51" s="139">
        <f t="shared" si="25"/>
        <v>0</v>
      </c>
      <c r="U51" s="181"/>
    </row>
    <row r="52" spans="1:21" ht="12.75">
      <c r="A52" s="47"/>
      <c r="B52" s="6" t="s">
        <v>188</v>
      </c>
      <c r="C52" s="59" t="s">
        <v>187</v>
      </c>
      <c r="D52" s="12"/>
      <c r="E52" s="7"/>
      <c r="F52" s="7">
        <f>12/12*(300+334+26)</f>
        <v>660</v>
      </c>
      <c r="G52" s="21">
        <f>D52+E52</f>
        <v>0</v>
      </c>
      <c r="H52" s="139">
        <f>G52+F52</f>
        <v>660</v>
      </c>
      <c r="I52" s="51">
        <f>3412/3412*300000+11/11*1280.44+82333412/82333412*(157128*0+10/10*(269752.06*0+11/11*292281.58*0+12/12*332899.9+1/1*5163/5163*26226))</f>
        <v>660406.3400000001</v>
      </c>
      <c r="J52" s="126"/>
      <c r="K52" s="155"/>
      <c r="L52" s="47"/>
      <c r="M52" s="155"/>
      <c r="N52" s="77"/>
      <c r="O52" s="65"/>
      <c r="P52" s="12"/>
      <c r="Q52" s="7"/>
      <c r="R52" s="7"/>
      <c r="S52" s="8"/>
      <c r="T52" s="139"/>
      <c r="U52" s="181"/>
    </row>
    <row r="53" spans="1:21" ht="12.75">
      <c r="A53" s="54"/>
      <c r="B53" s="82" t="s">
        <v>220</v>
      </c>
      <c r="C53" s="59" t="s">
        <v>148</v>
      </c>
      <c r="D53" s="12"/>
      <c r="E53" s="7"/>
      <c r="F53" s="7">
        <f>12/12*72</f>
        <v>72</v>
      </c>
      <c r="G53" s="21">
        <f t="shared" si="27"/>
        <v>0</v>
      </c>
      <c r="H53" s="139">
        <f>G53+F53</f>
        <v>72</v>
      </c>
      <c r="I53" s="51">
        <f>4/4*1667*0+6/6*22196.2*0+7/7*53620.2*0+10/10*64910.2*0+11/11*(71948.2+153/153*850)</f>
        <v>72798.2</v>
      </c>
      <c r="J53" s="126"/>
      <c r="K53" s="155">
        <f>I53+J53</f>
        <v>72798.2</v>
      </c>
      <c r="L53" s="47"/>
      <c r="M53" s="155">
        <f>K53+L53</f>
        <v>72798.2</v>
      </c>
      <c r="N53" s="77"/>
      <c r="O53" s="65"/>
      <c r="P53" s="12"/>
      <c r="Q53" s="7"/>
      <c r="R53" s="7"/>
      <c r="S53" s="8">
        <f>P53+Q53</f>
        <v>0</v>
      </c>
      <c r="T53" s="139">
        <f t="shared" si="25"/>
        <v>0</v>
      </c>
      <c r="U53" s="181"/>
    </row>
    <row r="54" spans="1:21" ht="12.75">
      <c r="A54" s="97" t="s">
        <v>112</v>
      </c>
      <c r="B54" s="183">
        <f>(H54+H128+H139)-2/2*0-3/3*(36250*0+36294.3)*0-5/5*56294.3*0-6/6*56328.3*0-7/7*56354.3*0-8/8*56388.3*0-12/12*69179.3</f>
        <v>0</v>
      </c>
      <c r="C54" s="51">
        <f>I54+I128+I139-2/2*20434473.09*0-3/3*20813524.67*0-4/4*32626027.36*0-5/5*32983966.93*0-6/6*(43351985.29*0+43355443.29)*0-7/7*52650237.39*0-9/9*56835778.93*0-10/10*63534106.93*0-11/11*(63898834.64*0+12/12*69009071.5-6171/6171*8233/8233*57120*0)</f>
        <v>0</v>
      </c>
      <c r="D54" s="13">
        <f>SUM(D40:D53)</f>
        <v>36250</v>
      </c>
      <c r="E54" s="184">
        <f>SUM(E40:E53)</f>
        <v>60</v>
      </c>
      <c r="F54" s="184">
        <f>SUM(F40:F53)</f>
        <v>11325</v>
      </c>
      <c r="G54" s="9">
        <f t="shared" si="27"/>
        <v>36310</v>
      </c>
      <c r="H54" s="184">
        <f aca="true" t="shared" si="28" ref="H54:M54">SUM(H40:H53)</f>
        <v>47635</v>
      </c>
      <c r="I54" s="117">
        <f t="shared" si="28"/>
        <v>47464771.50000001</v>
      </c>
      <c r="J54" s="154">
        <f t="shared" si="28"/>
        <v>-509125</v>
      </c>
      <c r="K54" s="155">
        <f t="shared" si="28"/>
        <v>3269273.8200000003</v>
      </c>
      <c r="L54" s="154">
        <f t="shared" si="28"/>
        <v>600300.0000000001</v>
      </c>
      <c r="M54" s="155">
        <f t="shared" si="28"/>
        <v>3869573.8200000003</v>
      </c>
      <c r="N54" s="64">
        <f>T54+T128+T139-(6/6)*(2/2*0+3/3*(270*0+314.3)+5/5*20000+12/12*1500)</f>
        <v>0</v>
      </c>
      <c r="O54" s="191">
        <f>U54+U128+U139-(6/6)*(2/2*31516*0+3/3*96162*0+4/4*95043*0+5/5*111053*0+6/6*(20149148*0+20121393)*0+7/7*20119214*0+9/9*20166286*0+10/10*20285344*0+11/11*20273498*0+12/12*21827946)</f>
        <v>0</v>
      </c>
      <c r="P54" s="13">
        <f>SUM(P40:P53)</f>
        <v>270</v>
      </c>
      <c r="Q54" s="184">
        <f>SUM(Q40:Q53)</f>
        <v>0</v>
      </c>
      <c r="R54" s="184">
        <f>SUM(R40:R53)</f>
        <v>0</v>
      </c>
      <c r="S54" s="9">
        <f t="shared" si="23"/>
        <v>270</v>
      </c>
      <c r="T54" s="184">
        <f>SUM(T40:T53)</f>
        <v>270</v>
      </c>
      <c r="U54" s="186">
        <f>SUM(U40:U53)</f>
        <v>283646</v>
      </c>
    </row>
    <row r="55" spans="1:21" ht="12.75">
      <c r="A55" s="5" t="s">
        <v>23</v>
      </c>
      <c r="B55" s="6">
        <v>5512</v>
      </c>
      <c r="C55" s="59" t="s">
        <v>24</v>
      </c>
      <c r="D55" s="12">
        <v>350</v>
      </c>
      <c r="E55" s="7"/>
      <c r="F55" s="7"/>
      <c r="G55" s="21">
        <f t="shared" si="27"/>
        <v>350</v>
      </c>
      <c r="H55" s="139">
        <f>G55+F55</f>
        <v>350</v>
      </c>
      <c r="I55" s="51">
        <f>39037.6*0+3/3*144641.65*0+4/4*182072.7*0+5/5*209049.7*0+6/6*(329954.75*0+332231.75)*0+7/7*340362.8*0+8/8*353586.85*0+9/9*354504.9*0+10/10*380954.99*0+11/11*384285.04+1/1*(4881*0+3/3*7226*0+4/4*8177*0+7/7*12766)+10609/10609*3148*0*6/6+6/6*1306/1306*550-397601.04+12/12*(437245.09-I138+1/1*17150+1306/1306*550)</f>
        <v>352945.09</v>
      </c>
      <c r="J55" s="126"/>
      <c r="K55" s="155">
        <f>I55+J55</f>
        <v>352945.09</v>
      </c>
      <c r="L55" s="47"/>
      <c r="M55" s="155">
        <f>K55+L55</f>
        <v>352945.09</v>
      </c>
      <c r="N55" s="64"/>
      <c r="O55" s="65"/>
      <c r="P55" s="17"/>
      <c r="Q55" s="179"/>
      <c r="R55" s="7"/>
      <c r="S55" s="8">
        <f t="shared" si="23"/>
        <v>0</v>
      </c>
      <c r="T55" s="139">
        <f>S55+R55</f>
        <v>0</v>
      </c>
      <c r="U55" s="181"/>
    </row>
    <row r="56" spans="1:21" ht="12.75">
      <c r="A56" s="47"/>
      <c r="B56" s="6">
        <v>5512</v>
      </c>
      <c r="C56" s="59" t="s">
        <v>25</v>
      </c>
      <c r="D56" s="12"/>
      <c r="E56" s="7"/>
      <c r="F56" s="7"/>
      <c r="G56" s="21">
        <f t="shared" si="27"/>
        <v>0</v>
      </c>
      <c r="H56" s="139">
        <f>G56+F56</f>
        <v>0</v>
      </c>
      <c r="I56" s="51"/>
      <c r="J56" s="126"/>
      <c r="K56" s="155">
        <f>I56+J56</f>
        <v>0</v>
      </c>
      <c r="L56" s="47"/>
      <c r="M56" s="155">
        <f>K56+L56</f>
        <v>0</v>
      </c>
      <c r="N56" s="69"/>
      <c r="O56" s="65"/>
      <c r="P56" s="17"/>
      <c r="Q56" s="179"/>
      <c r="R56" s="7"/>
      <c r="S56" s="8">
        <f t="shared" si="23"/>
        <v>0</v>
      </c>
      <c r="T56" s="139">
        <f>S56+R56</f>
        <v>0</v>
      </c>
      <c r="U56" s="181"/>
    </row>
    <row r="57" spans="1:21" ht="12.75">
      <c r="A57" s="97" t="s">
        <v>113</v>
      </c>
      <c r="B57" s="183">
        <f>H57+H138-2/2*0-3/3*350*0-10/10*452</f>
        <v>0</v>
      </c>
      <c r="C57" s="51">
        <f>I57+I138-2/2*43918.6*0-3/3*151867.65*0-4/4*190249.7*0-5/5*220374.7*0-6/6*(338681.75*0+340958.75)*0-7/7*353678.8*0-8/8*366902.85*0-9/9*367820.9*0-10/10*394270.99*0-11/11*397601.04*0-12/12*454945.09</f>
        <v>0</v>
      </c>
      <c r="D57" s="13">
        <f>SUM(D55:D56)</f>
        <v>350</v>
      </c>
      <c r="E57" s="184">
        <f>SUM(E55:E56)</f>
        <v>0</v>
      </c>
      <c r="F57" s="184">
        <f>SUM(F55:F56)</f>
        <v>0</v>
      </c>
      <c r="G57" s="9">
        <f t="shared" si="27"/>
        <v>350</v>
      </c>
      <c r="H57" s="184">
        <f aca="true" t="shared" si="29" ref="H57:M57">SUM(H55:H56)</f>
        <v>350</v>
      </c>
      <c r="I57" s="117">
        <f t="shared" si="29"/>
        <v>352945.09</v>
      </c>
      <c r="J57" s="154">
        <f t="shared" si="29"/>
        <v>0</v>
      </c>
      <c r="K57" s="155">
        <f t="shared" si="29"/>
        <v>352945.09</v>
      </c>
      <c r="L57" s="154">
        <f t="shared" si="29"/>
        <v>0</v>
      </c>
      <c r="M57" s="155">
        <f t="shared" si="29"/>
        <v>352945.09</v>
      </c>
      <c r="N57" s="64">
        <f>T57+T138-(7/7)*2/2*0-10/10*102</f>
        <v>0</v>
      </c>
      <c r="O57" s="185">
        <f>U57+U138-(7/7)*(2/2*0)-10/10*102000</f>
        <v>0</v>
      </c>
      <c r="P57" s="13">
        <f>SUM(P55:P56)</f>
        <v>0</v>
      </c>
      <c r="Q57" s="184">
        <f>SUM(Q55:Q56)</f>
        <v>0</v>
      </c>
      <c r="R57" s="184">
        <f>SUM(R55:R56)</f>
        <v>0</v>
      </c>
      <c r="S57" s="9">
        <f t="shared" si="23"/>
        <v>0</v>
      </c>
      <c r="T57" s="184">
        <f>SUM(T55:T56)</f>
        <v>0</v>
      </c>
      <c r="U57" s="186">
        <f>SUM(U55:U56)</f>
        <v>0</v>
      </c>
    </row>
    <row r="58" spans="1:21" ht="12.75">
      <c r="A58" s="5" t="s">
        <v>26</v>
      </c>
      <c r="B58" s="6">
        <v>3612</v>
      </c>
      <c r="C58" s="59" t="s">
        <v>27</v>
      </c>
      <c r="D58" s="12">
        <v>1000</v>
      </c>
      <c r="E58" s="7"/>
      <c r="F58" s="7"/>
      <c r="G58" s="21">
        <f t="shared" si="27"/>
        <v>1000</v>
      </c>
      <c r="H58" s="139">
        <f>G58+F58</f>
        <v>1000</v>
      </c>
      <c r="I58" s="51">
        <f>3/3*77460*0*4/4+5/5*1000000</f>
        <v>1000000</v>
      </c>
      <c r="J58" s="126">
        <f>(123456/123456*107/107*7180*0+789/789*(-165574+3599*0)+(26555+27955*0))+(1/1*1547+1062/1062*468)*0+3600+135419</f>
        <v>0</v>
      </c>
      <c r="K58" s="155">
        <f>I58+J58</f>
        <v>1000000</v>
      </c>
      <c r="L58" s="126">
        <f>(123456/123456*107/107*7180*0+789/789*(-165574+3599*0)+(26555+27955*0))+(1/1*1547+1062/1062*468)*0+3600</f>
        <v>-135419</v>
      </c>
      <c r="M58" s="155">
        <f>K58+L58</f>
        <v>864581</v>
      </c>
      <c r="N58" s="69"/>
      <c r="O58" s="65"/>
      <c r="P58" s="12"/>
      <c r="Q58" s="7"/>
      <c r="R58" s="7"/>
      <c r="S58" s="8">
        <f t="shared" si="23"/>
        <v>0</v>
      </c>
      <c r="T58" s="139">
        <f>S58+R58</f>
        <v>0</v>
      </c>
      <c r="U58" s="181"/>
    </row>
    <row r="59" spans="1:21" ht="12.75">
      <c r="A59" s="5"/>
      <c r="B59" s="6"/>
      <c r="C59" s="102" t="s">
        <v>138</v>
      </c>
      <c r="D59" s="12"/>
      <c r="E59" s="7"/>
      <c r="F59" s="21">
        <f>12/12*3188+4/4*1512</f>
        <v>4700</v>
      </c>
      <c r="G59" s="21">
        <f aca="true" t="shared" si="30" ref="G59:G66">D59+E59</f>
        <v>0</v>
      </c>
      <c r="H59" s="139">
        <f>G59+F59</f>
        <v>4700</v>
      </c>
      <c r="I59" s="51">
        <f>7/7*15000+8/8*68000+9/9*22345+10/10*534978+11/11*545041+12/12*2264812+1/1*10/10*586*0+5163/5163*611+5169/5169*1100</f>
        <v>3451887</v>
      </c>
      <c r="J59" s="126"/>
      <c r="K59" s="155"/>
      <c r="L59" s="196"/>
      <c r="M59" s="155"/>
      <c r="N59" s="282" t="s">
        <v>221</v>
      </c>
      <c r="O59" s="281"/>
      <c r="P59" s="12">
        <v>1000</v>
      </c>
      <c r="Q59" s="7"/>
      <c r="R59" s="7"/>
      <c r="S59" s="8">
        <f t="shared" si="23"/>
        <v>1000</v>
      </c>
      <c r="T59" s="139">
        <f>S59+R59</f>
        <v>1000</v>
      </c>
      <c r="U59" s="181"/>
    </row>
    <row r="60" spans="1:21" ht="12.75">
      <c r="A60" s="118"/>
      <c r="B60" s="6">
        <v>3639</v>
      </c>
      <c r="C60" s="59" t="s">
        <v>28</v>
      </c>
      <c r="D60" s="12">
        <v>6000</v>
      </c>
      <c r="E60" s="7"/>
      <c r="F60" s="7">
        <f>12/12*300</f>
        <v>300</v>
      </c>
      <c r="G60" s="21">
        <f t="shared" si="30"/>
        <v>6000</v>
      </c>
      <c r="H60" s="139">
        <f>G60+F60</f>
        <v>6300</v>
      </c>
      <c r="I60" s="51">
        <f>4/4*800000+6/6*300000+7/7*800000+8/8*800000+9/9*400000+10/10*700000+11/11*(1200000+81/81*300000)+12/12*1000000</f>
        <v>6300000</v>
      </c>
      <c r="J60" s="126"/>
      <c r="K60" s="155">
        <f>I60+J60</f>
        <v>6300000</v>
      </c>
      <c r="L60" s="47">
        <f>6419500-5529000</f>
        <v>890500</v>
      </c>
      <c r="M60" s="155">
        <f>K60+L60</f>
        <v>7190500</v>
      </c>
      <c r="N60" s="69"/>
      <c r="O60" s="65"/>
      <c r="P60" s="12"/>
      <c r="Q60" s="7"/>
      <c r="R60" s="7"/>
      <c r="S60" s="8">
        <f t="shared" si="23"/>
        <v>0</v>
      </c>
      <c r="T60" s="139">
        <f>S60+R60</f>
        <v>0</v>
      </c>
      <c r="U60" s="181"/>
    </row>
    <row r="61" spans="1:21" ht="12.75">
      <c r="A61" s="47"/>
      <c r="B61" s="6"/>
      <c r="C61" s="102" t="s">
        <v>47</v>
      </c>
      <c r="D61" s="12"/>
      <c r="E61" s="7"/>
      <c r="F61" s="7"/>
      <c r="G61" s="21">
        <f t="shared" si="30"/>
        <v>0</v>
      </c>
      <c r="H61" s="139">
        <f>G61+F61</f>
        <v>0</v>
      </c>
      <c r="I61" s="51"/>
      <c r="J61" s="126"/>
      <c r="K61" s="155">
        <f>I61+J61</f>
        <v>0</v>
      </c>
      <c r="L61" s="47"/>
      <c r="M61" s="155">
        <f>K61+L61</f>
        <v>0</v>
      </c>
      <c r="N61" s="69"/>
      <c r="O61" s="65"/>
      <c r="P61" s="12"/>
      <c r="Q61" s="7"/>
      <c r="R61" s="7"/>
      <c r="S61" s="8">
        <f t="shared" si="23"/>
        <v>0</v>
      </c>
      <c r="T61" s="139">
        <f>S61+R61</f>
        <v>0</v>
      </c>
      <c r="U61" s="181"/>
    </row>
    <row r="62" spans="1:21" ht="12.75">
      <c r="A62" s="118"/>
      <c r="B62" s="6">
        <v>3632</v>
      </c>
      <c r="C62" s="59" t="s">
        <v>64</v>
      </c>
      <c r="D62" s="12"/>
      <c r="E62" s="7"/>
      <c r="F62" s="7">
        <f>12/12*10</f>
        <v>10</v>
      </c>
      <c r="G62" s="21">
        <f t="shared" si="30"/>
        <v>0</v>
      </c>
      <c r="H62" s="139">
        <f>G62+F62</f>
        <v>10</v>
      </c>
      <c r="I62" s="51">
        <f>9/9*9520</f>
        <v>9520</v>
      </c>
      <c r="J62" s="126"/>
      <c r="K62" s="155">
        <f>I62+J62</f>
        <v>9520</v>
      </c>
      <c r="L62" s="47"/>
      <c r="M62" s="155">
        <f>K62+L62</f>
        <v>9520</v>
      </c>
      <c r="N62" s="64"/>
      <c r="O62" s="65"/>
      <c r="P62" s="12"/>
      <c r="Q62" s="7"/>
      <c r="R62" s="7"/>
      <c r="S62" s="8">
        <f t="shared" si="23"/>
        <v>0</v>
      </c>
      <c r="T62" s="139">
        <f>S62+R62</f>
        <v>0</v>
      </c>
      <c r="U62" s="181"/>
    </row>
    <row r="63" spans="1:21" ht="12.75">
      <c r="A63" s="97" t="s">
        <v>114</v>
      </c>
      <c r="B63" s="183">
        <f>H63-2/2*0-3/3*7000*0-12/12*12010</f>
        <v>0</v>
      </c>
      <c r="C63" s="51">
        <f>I63-2/2*0-3/3*77460*0-4/4*800000*0-5/5*1800000-6/6*300000-7/7*(15000+800000)-8/8*(68000+800000)-9/9*(31865+400000)-10/10*(535564+700000)-11/11*(3639/3639*(1200000+300000)+3612/3612*(545041-586))+7494884-12/12*10761407</f>
        <v>0</v>
      </c>
      <c r="D63" s="13">
        <f>SUM(D58:D62)</f>
        <v>7000</v>
      </c>
      <c r="E63" s="184">
        <f>SUM(E58:E62)</f>
        <v>0</v>
      </c>
      <c r="F63" s="184">
        <f>SUM(F58:F62)</f>
        <v>5010</v>
      </c>
      <c r="G63" s="9">
        <f t="shared" si="30"/>
        <v>7000</v>
      </c>
      <c r="H63" s="184">
        <f aca="true" t="shared" si="31" ref="H63:M63">SUM(H58:H62)</f>
        <v>12010</v>
      </c>
      <c r="I63" s="117">
        <f>SUM(I58:I62)</f>
        <v>10761407</v>
      </c>
      <c r="J63" s="154">
        <f t="shared" si="31"/>
        <v>0</v>
      </c>
      <c r="K63" s="155">
        <f t="shared" si="31"/>
        <v>7309520</v>
      </c>
      <c r="L63" s="154">
        <f t="shared" si="31"/>
        <v>755081</v>
      </c>
      <c r="M63" s="155">
        <f t="shared" si="31"/>
        <v>8064601</v>
      </c>
      <c r="N63" s="64">
        <f>T63-(8/8)*(2/2*0+3/3*1000)</f>
        <v>0</v>
      </c>
      <c r="O63" s="185">
        <f>U63-(8/8)*(2/2*0)</f>
        <v>0</v>
      </c>
      <c r="P63" s="13">
        <f>SUM(P58:P62)</f>
        <v>1000</v>
      </c>
      <c r="Q63" s="184">
        <f>SUM(Q58:Q62)</f>
        <v>0</v>
      </c>
      <c r="R63" s="184">
        <f>SUM(R58:R62)</f>
        <v>0</v>
      </c>
      <c r="S63" s="9">
        <f t="shared" si="23"/>
        <v>1000</v>
      </c>
      <c r="T63" s="184">
        <f>SUM(T58:T62)</f>
        <v>1000</v>
      </c>
      <c r="U63" s="186">
        <f>SUM(U58:U62)</f>
        <v>0</v>
      </c>
    </row>
    <row r="64" spans="1:21" ht="12.75">
      <c r="A64" s="5" t="s">
        <v>29</v>
      </c>
      <c r="B64" s="6">
        <v>6112</v>
      </c>
      <c r="C64" s="59" t="s">
        <v>30</v>
      </c>
      <c r="D64" s="129">
        <f>2824-(400+192)</f>
        <v>2232</v>
      </c>
      <c r="E64" s="7"/>
      <c r="F64" s="7">
        <f>12/12*50</f>
        <v>50</v>
      </c>
      <c r="G64" s="21">
        <f t="shared" si="30"/>
        <v>2232</v>
      </c>
      <c r="H64" s="139">
        <f>G64+F64</f>
        <v>2282</v>
      </c>
      <c r="I64" s="51">
        <f>169365*0+3/3*346968*0+4/4*530686*0+5/5*707551*0+6/6*899993*0+7/7*1083723*0+8/8*1260239*0+9/9*1434519*0+10/10*(1628328*0+11/11*1803236*0+12/12*2117324+31009/31009*(5139/5139)*1620+10111009/10111009*(6228*0+11/11*14463))+6123/6123*27750</f>
        <v>2161157</v>
      </c>
      <c r="J64" s="197">
        <f>-51666*(1+0.26+0.09)-116.84-41.06</f>
        <v>-69907</v>
      </c>
      <c r="K64" s="155">
        <f>I64+J64</f>
        <v>2091250</v>
      </c>
      <c r="L64" s="47">
        <f>(156120+1730)*3</f>
        <v>473550</v>
      </c>
      <c r="M64" s="155">
        <f aca="true" t="shared" si="32" ref="M64:M87">K64+L64</f>
        <v>2564800</v>
      </c>
      <c r="N64" s="64"/>
      <c r="O64" s="65"/>
      <c r="P64" s="12"/>
      <c r="Q64" s="7"/>
      <c r="R64" s="7"/>
      <c r="S64" s="8">
        <f t="shared" si="23"/>
        <v>0</v>
      </c>
      <c r="T64" s="139">
        <f aca="true" t="shared" si="33" ref="T64:T69">S64+R64</f>
        <v>0</v>
      </c>
      <c r="U64" s="181"/>
    </row>
    <row r="65" spans="1:21" ht="12.75">
      <c r="A65" s="47"/>
      <c r="B65" s="6">
        <v>6171</v>
      </c>
      <c r="C65" s="59" t="s">
        <v>149</v>
      </c>
      <c r="D65" s="12">
        <f>39179+6112/6112*(400+192)-D67-D68-D70-D71+5410/5410*422-D80-D83-D84</f>
        <v>40136</v>
      </c>
      <c r="E65" s="7">
        <f>7/7*(99/99)*((1214.3+360)+10/10*5141/5141*60)</f>
        <v>1634.3</v>
      </c>
      <c r="F65" s="7">
        <f>3/3*(150+50)+6/6*(70209/70209*4+5555/5555*250)+12/12*(-150+2/2*63+1059/1059*25+2171/2171*20)</f>
        <v>412</v>
      </c>
      <c r="G65" s="21">
        <f t="shared" si="30"/>
        <v>41770.3</v>
      </c>
      <c r="H65" s="139">
        <f>G65+F65</f>
        <v>42182.3</v>
      </c>
      <c r="I65" s="51">
        <f>6171/6171*(10/10*31037290.46*0+11/11*(34243724.87*0+57120)+12/12*37067072.59-81/81*(39940*0+48360))+2323/2323*12/12*17295+5410/5410*(11/11*166600*0+12/12*182754)+5801/5801*(-13764*0+3/3*-15096)+1/1*(10/10*508281*0+11/11*406218*0+12/12*411699)+3/3*(11/11*543778*0+12/12*609493)+5192/5192*(201/201*10000+276100+15000+113000+6/6*(20000+201/201*2500))+5555/5555*(3/3*200000*0+4/4*400000+12/12*49900)+6171/6171*98116/98116*(226800*0+7/7*226794)*0+4/4*(2044200944/2044200944)*10000*0*6/6-I67-I68-I70-I123-I71-I125-(I119*0+4000)+(10/10)*(5163/5163*(159.5*0+6/6*319*0+9/9*478.5*0+12/12*638)+5141/5141*(51379.65*0+6/6*58299.16*0+9/9*59267.8*0+12/12*59735.92))+5192/5192*(6/6*102809/102809*4500+7/7*(2/2*(5154/5154*(10586*0+10/10*17756)+(5169/5169)*(5000+8/8*40000))+6117/6117*32000+10592009/10592009*25000))+9/9*(2171/2171*20000)+10/10*1112009/1112009*(62517.1*0+11/11*66266.1*0+12/12*69883.1)+12/12*(98216/98216*(-1657205-425098.48)*0+107/107*8670+6117/6117*929.8+6171/6171*754000-I131)+3541/3541*81/81*4000-16331.5</f>
        <v>9532173.430000003</v>
      </c>
      <c r="J65" s="197">
        <f>-(1058893*0+1222061)*(1+0.26+0.09)-5041.14-1830.51</f>
        <v>-1656654</v>
      </c>
      <c r="K65" s="155">
        <f>I65+J65</f>
        <v>7875519.430000003</v>
      </c>
      <c r="L65" s="47">
        <f>(1645000-1130000)*(1+0.26+0.09+0.03)*3</f>
        <v>2132100.0000000005</v>
      </c>
      <c r="M65" s="155">
        <f t="shared" si="32"/>
        <v>10007619.430000003</v>
      </c>
      <c r="N65" s="69"/>
      <c r="O65" s="16" t="s">
        <v>116</v>
      </c>
      <c r="P65" s="12">
        <v>300</v>
      </c>
      <c r="Q65" s="7"/>
      <c r="R65" s="7"/>
      <c r="S65" s="8">
        <f t="shared" si="23"/>
        <v>300</v>
      </c>
      <c r="T65" s="139">
        <f t="shared" si="33"/>
        <v>300</v>
      </c>
      <c r="U65" s="181">
        <f>3/3*(13737.97+10/10*87.61)*0+6/6*(31361.6+166.96)*0+9/9*(48470.09+247.06)*0+12/12*(58418.33+309.07)</f>
        <v>58727.4</v>
      </c>
    </row>
    <row r="66" spans="1:21" ht="12.75" hidden="1">
      <c r="A66" s="47"/>
      <c r="B66" s="6"/>
      <c r="C66" s="123" t="s">
        <v>133</v>
      </c>
      <c r="D66" s="12"/>
      <c r="E66" s="7"/>
      <c r="F66" s="7"/>
      <c r="G66" s="21">
        <f t="shared" si="30"/>
        <v>0</v>
      </c>
      <c r="H66" s="139">
        <f>G66+F66</f>
        <v>0</v>
      </c>
      <c r="I66" s="51"/>
      <c r="J66" s="198"/>
      <c r="K66" s="155"/>
      <c r="L66" s="47"/>
      <c r="M66" s="155"/>
      <c r="N66" s="69"/>
      <c r="O66" s="16" t="s">
        <v>72</v>
      </c>
      <c r="P66" s="12"/>
      <c r="Q66" s="7"/>
      <c r="R66" s="7"/>
      <c r="S66" s="8">
        <f>P66+Q66</f>
        <v>0</v>
      </c>
      <c r="T66" s="139">
        <f t="shared" si="33"/>
        <v>0</v>
      </c>
      <c r="U66" s="181"/>
    </row>
    <row r="67" spans="1:21" ht="12.75">
      <c r="A67" s="199"/>
      <c r="B67" s="143">
        <f>242815-246474</f>
        <v>-3659</v>
      </c>
      <c r="C67" s="99" t="s">
        <v>117</v>
      </c>
      <c r="D67" s="12"/>
      <c r="E67" s="7"/>
      <c r="F67" s="7"/>
      <c r="G67" s="21">
        <f aca="true" t="shared" si="34" ref="G67:G86">D67+E67</f>
        <v>0</v>
      </c>
      <c r="H67" s="139">
        <f aca="true" t="shared" si="35" ref="H67:H87">G67+F67</f>
        <v>0</v>
      </c>
      <c r="I67" s="51">
        <f>(1/1*499517+2/2*(593428*0+833893)+3/3*714686+4/4*520900+5/5*511652+6/6*729812+7/7*575351+8/8*(538557*12/12*0+537707)+9/9*595119+10/10*533003+11/11*(530160+0)+12/12*(645436*0+645506))*(1+0.25+0.09)+(0.22*0-0.4*0+0.36*0+6/6*0.68*0+7/7*0.62-0.02+7/7*-0.34+8/8*-0.38+9/9*-0.46+10/10*-0.02)*0+12/12*(0.5+0.46)-(7226030+1276)*0</f>
        <v>9684591.000000002</v>
      </c>
      <c r="J67" s="198"/>
      <c r="K67" s="155"/>
      <c r="L67" s="47"/>
      <c r="M67" s="155"/>
      <c r="N67" s="69"/>
      <c r="O67" s="16" t="s">
        <v>51</v>
      </c>
      <c r="P67" s="12"/>
      <c r="Q67" s="7"/>
      <c r="R67" s="7"/>
      <c r="S67" s="8">
        <f>P67+Q67</f>
        <v>0</v>
      </c>
      <c r="T67" s="139">
        <f t="shared" si="33"/>
        <v>0</v>
      </c>
      <c r="U67" s="181"/>
    </row>
    <row r="68" spans="1:21" ht="12.75">
      <c r="A68" s="199"/>
      <c r="B68" s="143"/>
      <c r="C68" s="59" t="s">
        <v>92</v>
      </c>
      <c r="D68" s="12"/>
      <c r="E68" s="7"/>
      <c r="F68" s="7"/>
      <c r="G68" s="21">
        <f t="shared" si="34"/>
        <v>0</v>
      </c>
      <c r="H68" s="139">
        <f t="shared" si="35"/>
        <v>0</v>
      </c>
      <c r="I68" s="51">
        <f>(1/1*1136403+2/2*(1326829*0+1086364)+3/3*1651916+4/4*1152341+5/5*1137565+6/6*1611573+7/7*1244278+8/8*1228260+9/9*1366916+10/10*1192243+11/11*1166227+12/12*(1360467*0+1360537))*(1+0.25+0.09)-I70-(I123-376309.98-48788.5)-I71-I125+(0.98*0+0.22*0-5/5*0.16*0+6/6*0.74+7/7*0.18+7/7*0.48+8/8*0.6+9/9*-0.44+10/10*0.38)*0+12/12*(0.25+0.93)-I131</f>
        <v>17333768</v>
      </c>
      <c r="J68" s="126"/>
      <c r="K68" s="155">
        <f aca="true" t="shared" si="36" ref="K68:K76">I68+J68</f>
        <v>17333768</v>
      </c>
      <c r="L68" s="47">
        <f>1130000*(1+0.26+0.09+0.03)*3</f>
        <v>4678200.000000001</v>
      </c>
      <c r="M68" s="155">
        <f t="shared" si="32"/>
        <v>22011968</v>
      </c>
      <c r="N68" s="268" t="s">
        <v>106</v>
      </c>
      <c r="O68" s="269"/>
      <c r="P68" s="7">
        <f>(8342*1158.12/1000-0.037)+(2193+626+1957+9187)*15.8/1000-0.61544+9881*0</f>
        <v>9881</v>
      </c>
      <c r="Q68" s="7">
        <f>(8342*1158.12/1000-0.037)+(2193+626+1957+9187)*15.8/1000-0.61544-9881+4/4*-1173</f>
        <v>-1173</v>
      </c>
      <c r="R68" s="7"/>
      <c r="S68" s="8">
        <f>P68+Q68</f>
        <v>8708</v>
      </c>
      <c r="T68" s="139">
        <f t="shared" si="33"/>
        <v>8708</v>
      </c>
      <c r="U68" s="181">
        <f>((9881000-1173000)/12-416.6666667*0+64333.3333-96000/5-6/6*12800-7/7*9142.8571-8/8*6857.1429-9/9*5333.3333-10/10*4266.66666)*12-3160000*4/4*0-5/5*3854000*0-6/6*4548000*0-7/7*5879000*0-11/11*38400*0+12/12*-80800</f>
        <v>8708000.000079999</v>
      </c>
    </row>
    <row r="69" spans="1:21" ht="12.75">
      <c r="A69" s="47"/>
      <c r="B69" s="143"/>
      <c r="C69" s="59" t="s">
        <v>42</v>
      </c>
      <c r="D69" s="12">
        <f>68*6</f>
        <v>408</v>
      </c>
      <c r="E69" s="7"/>
      <c r="F69" s="7"/>
      <c r="G69" s="21">
        <f t="shared" si="34"/>
        <v>408</v>
      </c>
      <c r="H69" s="139">
        <f t="shared" si="35"/>
        <v>408</v>
      </c>
      <c r="I69" s="51">
        <f>3/3*68670*0+4/4*137340*0+5/5*218752.1+9/9*80660+11/11*80660</f>
        <v>380072.1</v>
      </c>
      <c r="J69" s="126"/>
      <c r="K69" s="155">
        <f t="shared" si="36"/>
        <v>380072.1</v>
      </c>
      <c r="L69" s="47"/>
      <c r="M69" s="155">
        <f t="shared" si="32"/>
        <v>380072.1</v>
      </c>
      <c r="N69" s="69"/>
      <c r="O69" s="16" t="s">
        <v>49</v>
      </c>
      <c r="P69" s="12">
        <v>500</v>
      </c>
      <c r="Q69" s="7"/>
      <c r="R69" s="7"/>
      <c r="S69" s="8">
        <f t="shared" si="23"/>
        <v>500</v>
      </c>
      <c r="T69" s="139">
        <f t="shared" si="33"/>
        <v>500</v>
      </c>
      <c r="U69" s="181">
        <f>102900+3/3*32500+4/4*32000+5/5*40500+6/6*101500+7/7*39500+8/8*17500+9/9*80300+10/10*34000+11/11*63500+12/12*71700</f>
        <v>615900</v>
      </c>
    </row>
    <row r="70" spans="1:21" ht="12.75">
      <c r="A70" s="199"/>
      <c r="B70" s="124">
        <f>I67+I68+I70+I71-A71</f>
        <v>27594988</v>
      </c>
      <c r="C70" s="59" t="s">
        <v>18</v>
      </c>
      <c r="D70" s="12"/>
      <c r="E70" s="7"/>
      <c r="F70" s="7"/>
      <c r="G70" s="21">
        <f t="shared" si="34"/>
        <v>0</v>
      </c>
      <c r="H70" s="139">
        <f t="shared" si="35"/>
        <v>0</v>
      </c>
      <c r="I70" s="51">
        <f>((1/1*87104+2/2*(96162*0+81162)+3/3*135357+4/4*93533+5/5*98166+6/6*(134198-1600)+7/7*100808+8/8*100241+9/9*103207+10/10*98291+11/11*94334+12/12*107998+107/107*15000*0)*(1+0.25+0.09)-0.36*0-0.44*0)+0.18*0+5/5*-0.22*0+6/6*(15000*(0.25+0.09)+(3.34*0+6/6*-0.32*0))+(7/7*0.28+8/8*2.06+9/9*0.06+10/10*145.62)*0+11/11*(-33.25+186.91)*0+12/12*(-38.75+193.09)-(I123-376309.98-48788.5)</f>
        <v>0</v>
      </c>
      <c r="J70" s="126"/>
      <c r="K70" s="155">
        <f t="shared" si="36"/>
        <v>0</v>
      </c>
      <c r="L70" s="47"/>
      <c r="M70" s="155">
        <f t="shared" si="32"/>
        <v>0</v>
      </c>
      <c r="N70" s="64" t="s">
        <v>91</v>
      </c>
      <c r="O70" s="65"/>
      <c r="P70" s="12"/>
      <c r="Q70" s="7"/>
      <c r="R70" s="7"/>
      <c r="S70" s="8">
        <f aca="true" t="shared" si="37" ref="S70:S77">P70+Q70</f>
        <v>0</v>
      </c>
      <c r="T70" s="139">
        <f aca="true" t="shared" si="38" ref="T70:T77">S70+R70</f>
        <v>0</v>
      </c>
      <c r="U70" s="181"/>
    </row>
    <row r="71" spans="1:21" ht="12.75">
      <c r="A71" s="199"/>
      <c r="B71" s="6">
        <f>1600*0.09</f>
        <v>144</v>
      </c>
      <c r="C71" s="59" t="s">
        <v>87</v>
      </c>
      <c r="D71" s="12"/>
      <c r="E71" s="7"/>
      <c r="F71" s="7"/>
      <c r="G71" s="21">
        <f t="shared" si="34"/>
        <v>0</v>
      </c>
      <c r="H71" s="139">
        <f t="shared" si="35"/>
        <v>0</v>
      </c>
      <c r="I71" s="51">
        <f>((1/1*44526+2/2*(53290*0+44290)+3/3*62849+4/4*47041+5/5*46713+6/6*59982+7/7*47270+8/8*47762+9/9*52371+10/10*47461+11/11*47216+12/12*51319+107/107*9000*0)*(1+0.25+0.09)+(1.16*0-0.44*0-0.1+5/5*0.06)*0+6/6*9000*(0.25+0.09)+(3.58+6/6*0.12+7/7*1.2+8/8*0.92+10/10*0.26+1.86)*0+11/11*(-13.25-2017.29)*0+12/12*(-13-2016))-I125</f>
        <v>576629</v>
      </c>
      <c r="J71" s="126"/>
      <c r="K71" s="155">
        <f t="shared" si="36"/>
        <v>576629</v>
      </c>
      <c r="L71" s="47"/>
      <c r="M71" s="155">
        <f t="shared" si="32"/>
        <v>576629</v>
      </c>
      <c r="N71" s="64" t="s">
        <v>91</v>
      </c>
      <c r="O71" s="65"/>
      <c r="P71" s="12"/>
      <c r="Q71" s="7"/>
      <c r="R71" s="7"/>
      <c r="S71" s="8">
        <f t="shared" si="37"/>
        <v>0</v>
      </c>
      <c r="T71" s="139">
        <f t="shared" si="38"/>
        <v>0</v>
      </c>
      <c r="U71" s="181"/>
    </row>
    <row r="72" spans="1:21" ht="12.75">
      <c r="A72" s="47"/>
      <c r="B72" s="124">
        <f>I72/3%</f>
        <v>27685600</v>
      </c>
      <c r="C72" s="59" t="s">
        <v>96</v>
      </c>
      <c r="D72" s="12"/>
      <c r="E72" s="7"/>
      <c r="F72" s="7"/>
      <c r="G72" s="21">
        <f t="shared" si="34"/>
        <v>0</v>
      </c>
      <c r="H72" s="139">
        <f t="shared" si="35"/>
        <v>0</v>
      </c>
      <c r="I72" s="51">
        <f>60990*0+3/3*120278*0+4/4*207830*0+5/5*270857*0+6/6*333526*0+7/7*419615*0+8/8*487433*0+9/9*553580*0+10/10*627193*0+11/11*692088*0+830568</f>
        <v>830568</v>
      </c>
      <c r="J72" s="126"/>
      <c r="K72" s="155">
        <f t="shared" si="36"/>
        <v>830568</v>
      </c>
      <c r="L72" s="47"/>
      <c r="M72" s="155">
        <f t="shared" si="32"/>
        <v>830568</v>
      </c>
      <c r="N72" s="64"/>
      <c r="O72" s="45" t="s">
        <v>222</v>
      </c>
      <c r="P72" s="12"/>
      <c r="Q72" s="7"/>
      <c r="R72" s="7"/>
      <c r="S72" s="8">
        <f t="shared" si="37"/>
        <v>0</v>
      </c>
      <c r="T72" s="139">
        <f t="shared" si="38"/>
        <v>0</v>
      </c>
      <c r="U72" s="181">
        <f>43400+3/3*20700+4/4*18700+5/5*19200+6/6*20450+7/7*17950+8/8*28450+9/9*21000+10/10*20000+11/11*21500+12/12*22500</f>
        <v>253850</v>
      </c>
    </row>
    <row r="73" spans="1:21" ht="12.75">
      <c r="A73" s="47"/>
      <c r="B73" s="6"/>
      <c r="C73" s="59" t="s">
        <v>43</v>
      </c>
      <c r="D73" s="12">
        <v>500</v>
      </c>
      <c r="E73" s="7"/>
      <c r="F73" s="7">
        <f>12/12*-410</f>
        <v>-410</v>
      </c>
      <c r="G73" s="21">
        <f t="shared" si="34"/>
        <v>500</v>
      </c>
      <c r="H73" s="139">
        <f t="shared" si="35"/>
        <v>90</v>
      </c>
      <c r="I73" s="51">
        <f>132828.9*0+3/3*137808.9*0+4/4*200506.97*0+5/5*151543.97*0+6/6*241813.87*0+7/7*291389.87*0+8/8*320814.87+9/9*3162.5+10/10*49058+11/11*3162+12/12*28695-6171/6171*321000</f>
        <v>83892.37</v>
      </c>
      <c r="J73" s="126"/>
      <c r="K73" s="155">
        <f t="shared" si="36"/>
        <v>83892.37</v>
      </c>
      <c r="L73" s="47"/>
      <c r="M73" s="155">
        <f t="shared" si="32"/>
        <v>83892.37</v>
      </c>
      <c r="N73" s="200" t="s">
        <v>103</v>
      </c>
      <c r="O73" s="16" t="s">
        <v>50</v>
      </c>
      <c r="P73" s="12"/>
      <c r="Q73" s="7"/>
      <c r="R73" s="7">
        <f>6/6*(470-250)+12/12*160</f>
        <v>380</v>
      </c>
      <c r="S73" s="8">
        <f t="shared" si="37"/>
        <v>0</v>
      </c>
      <c r="T73" s="139">
        <f t="shared" si="38"/>
        <v>380</v>
      </c>
      <c r="U73" s="181">
        <f>64000+20000+4/4*121000+5/5*15000+6/6*20000+8/8*30000+9/9*5000+10/10*56380+11/11*45000+12/12*25000</f>
        <v>401380</v>
      </c>
    </row>
    <row r="74" spans="1:21" ht="12.75">
      <c r="A74" s="5"/>
      <c r="B74" s="6"/>
      <c r="C74" s="59" t="s">
        <v>44</v>
      </c>
      <c r="D74" s="12">
        <v>440</v>
      </c>
      <c r="E74" s="7"/>
      <c r="F74" s="7">
        <f>12/12*-12</f>
        <v>-12</v>
      </c>
      <c r="G74" s="21">
        <f t="shared" si="34"/>
        <v>440</v>
      </c>
      <c r="H74" s="139">
        <f t="shared" si="35"/>
        <v>428</v>
      </c>
      <c r="I74" s="51">
        <f>81242*0+3/3*97798*0+4/4*174568*0+5/5*199294*0+6/6*(237334*0+239836)*0+7/7*281426.5*0+8/8*408109.5+9/9*15746+10/10*141127+11/11*570+12/12*27547-6171/6171*79000</f>
        <v>514099.5</v>
      </c>
      <c r="J74" s="126"/>
      <c r="K74" s="155">
        <f t="shared" si="36"/>
        <v>514099.5</v>
      </c>
      <c r="L74" s="47"/>
      <c r="M74" s="155">
        <f t="shared" si="32"/>
        <v>514099.5</v>
      </c>
      <c r="N74" s="64"/>
      <c r="O74" s="18" t="s">
        <v>153</v>
      </c>
      <c r="P74" s="12"/>
      <c r="Q74" s="7"/>
      <c r="R74" s="7">
        <f>6/6*250</f>
        <v>250</v>
      </c>
      <c r="S74" s="8">
        <f t="shared" si="37"/>
        <v>0</v>
      </c>
      <c r="T74" s="139">
        <f t="shared" si="38"/>
        <v>250</v>
      </c>
      <c r="U74" s="181">
        <f>250000</f>
        <v>250000</v>
      </c>
    </row>
    <row r="75" spans="1:21" ht="24.75" customHeight="1">
      <c r="A75" s="47"/>
      <c r="B75" s="6"/>
      <c r="C75" s="59" t="s">
        <v>45</v>
      </c>
      <c r="D75" s="12">
        <v>215</v>
      </c>
      <c r="E75" s="7"/>
      <c r="F75" s="7">
        <f>12/12*-85</f>
        <v>-85</v>
      </c>
      <c r="G75" s="21">
        <f t="shared" si="34"/>
        <v>215</v>
      </c>
      <c r="H75" s="139">
        <f t="shared" si="35"/>
        <v>130</v>
      </c>
      <c r="I75" s="51">
        <f>37398.5*0+3/3*44763.5*0+4/4*78323.5*0+5/5*79253.5*0+6/6*105659.5*0+7/7*169637.5*0+8/8*191754.5*0+9/9*165057*0+10/10*145435.5+11/11*930+12/12*(23605-98216/98216*48788.5)</f>
        <v>121182</v>
      </c>
      <c r="J75" s="126"/>
      <c r="K75" s="155">
        <f t="shared" si="36"/>
        <v>121182</v>
      </c>
      <c r="L75" s="47"/>
      <c r="M75" s="155">
        <f t="shared" si="32"/>
        <v>121182</v>
      </c>
      <c r="N75" s="280" t="s">
        <v>166</v>
      </c>
      <c r="O75" s="281"/>
      <c r="P75" s="12"/>
      <c r="Q75" s="7"/>
      <c r="R75" s="7">
        <f>3/3*(150+50*0)</f>
        <v>150</v>
      </c>
      <c r="S75" s="8">
        <f t="shared" si="37"/>
        <v>0</v>
      </c>
      <c r="T75" s="139">
        <f t="shared" si="38"/>
        <v>150</v>
      </c>
      <c r="U75" s="181">
        <f>150000</f>
        <v>150000</v>
      </c>
    </row>
    <row r="76" spans="1:21" ht="12.75">
      <c r="A76" s="5"/>
      <c r="B76" s="6"/>
      <c r="C76" s="59" t="s">
        <v>46</v>
      </c>
      <c r="D76" s="12">
        <v>25</v>
      </c>
      <c r="E76" s="7"/>
      <c r="F76" s="7"/>
      <c r="G76" s="21">
        <f t="shared" si="34"/>
        <v>25</v>
      </c>
      <c r="H76" s="139">
        <f>G76+F76</f>
        <v>25</v>
      </c>
      <c r="I76" s="51">
        <f>14678*0+7/7*15951+12/12*400</f>
        <v>16351</v>
      </c>
      <c r="J76" s="126"/>
      <c r="K76" s="155">
        <f t="shared" si="36"/>
        <v>16351</v>
      </c>
      <c r="L76" s="47"/>
      <c r="M76" s="155">
        <f t="shared" si="32"/>
        <v>16351</v>
      </c>
      <c r="N76" s="64"/>
      <c r="O76" s="18" t="s">
        <v>223</v>
      </c>
      <c r="P76" s="12"/>
      <c r="Q76" s="7"/>
      <c r="R76" s="7">
        <f>12/12*961</f>
        <v>961</v>
      </c>
      <c r="S76" s="8">
        <f t="shared" si="37"/>
        <v>0</v>
      </c>
      <c r="T76" s="139">
        <f t="shared" si="38"/>
        <v>961</v>
      </c>
      <c r="U76" s="181">
        <f>482234.01*0+2329/2329*(210770.01+5/5*400+6/6*100+7/7*38398+8/8*710400+9/9*200+10/10*1185)+2328/2328*700*0+11/11*14419.4+12/12*-14956.4</f>
        <v>960916.01</v>
      </c>
    </row>
    <row r="77" spans="1:21" ht="12.75">
      <c r="A77" s="103"/>
      <c r="B77" s="6">
        <v>192108</v>
      </c>
      <c r="C77" s="59" t="s">
        <v>129</v>
      </c>
      <c r="D77" s="12"/>
      <c r="E77" s="7"/>
      <c r="F77" s="7"/>
      <c r="G77" s="21">
        <f t="shared" si="34"/>
        <v>0</v>
      </c>
      <c r="H77" s="139">
        <f t="shared" si="35"/>
        <v>0</v>
      </c>
      <c r="I77" s="51">
        <f>4/4*71400</f>
        <v>71400</v>
      </c>
      <c r="J77" s="126"/>
      <c r="K77" s="155"/>
      <c r="L77" s="47"/>
      <c r="M77" s="155"/>
      <c r="N77" s="64"/>
      <c r="O77" s="201" t="s">
        <v>136</v>
      </c>
      <c r="P77" s="12"/>
      <c r="Q77" s="7"/>
      <c r="R77" s="7"/>
      <c r="S77" s="8">
        <f t="shared" si="37"/>
        <v>0</v>
      </c>
      <c r="T77" s="139">
        <f t="shared" si="38"/>
        <v>0</v>
      </c>
      <c r="U77" s="181"/>
    </row>
    <row r="78" spans="1:21" ht="12.75">
      <c r="A78" s="103"/>
      <c r="B78" s="52"/>
      <c r="C78" s="59" t="s">
        <v>174</v>
      </c>
      <c r="D78" s="12"/>
      <c r="E78" s="7"/>
      <c r="F78" s="7">
        <f>12/12*119</f>
        <v>119</v>
      </c>
      <c r="G78" s="21">
        <f>D78+E78</f>
        <v>0</v>
      </c>
      <c r="H78" s="139">
        <f>G78+F78</f>
        <v>119</v>
      </c>
      <c r="I78" s="51">
        <f>5/5*119000</f>
        <v>119000</v>
      </c>
      <c r="J78" s="126"/>
      <c r="K78" s="155"/>
      <c r="L78" s="47"/>
      <c r="M78" s="155"/>
      <c r="N78" s="64"/>
      <c r="O78" s="202"/>
      <c r="P78" s="12"/>
      <c r="Q78" s="7"/>
      <c r="R78" s="7"/>
      <c r="S78" s="8"/>
      <c r="T78" s="139"/>
      <c r="U78" s="181"/>
    </row>
    <row r="79" spans="1:21" ht="12.75">
      <c r="A79" s="203"/>
      <c r="B79" s="6" t="s">
        <v>182</v>
      </c>
      <c r="C79" s="59" t="s">
        <v>181</v>
      </c>
      <c r="D79" s="12"/>
      <c r="E79" s="7"/>
      <c r="F79" s="7">
        <f>12/12*233</f>
        <v>233</v>
      </c>
      <c r="G79" s="21">
        <f>D79+E79</f>
        <v>0</v>
      </c>
      <c r="H79" s="139">
        <f>G79+F79</f>
        <v>233</v>
      </c>
      <c r="I79" s="51">
        <f>6/6*850000+8/8*680000+10/10*178032</f>
        <v>1708032</v>
      </c>
      <c r="J79" s="126"/>
      <c r="K79" s="155"/>
      <c r="L79" s="47"/>
      <c r="M79" s="155"/>
      <c r="N79" s="64"/>
      <c r="O79" s="202"/>
      <c r="P79" s="12"/>
      <c r="Q79" s="7"/>
      <c r="R79" s="7"/>
      <c r="S79" s="8"/>
      <c r="T79" s="139"/>
      <c r="U79" s="181"/>
    </row>
    <row r="80" spans="1:21" ht="12.75">
      <c r="A80" s="103"/>
      <c r="B80" s="6">
        <v>200609</v>
      </c>
      <c r="C80" s="59" t="s">
        <v>130</v>
      </c>
      <c r="D80" s="12">
        <f>(6/6)*2</f>
        <v>2</v>
      </c>
      <c r="E80" s="7"/>
      <c r="F80" s="7"/>
      <c r="G80" s="21">
        <f t="shared" si="34"/>
        <v>2</v>
      </c>
      <c r="H80" s="139">
        <f t="shared" si="35"/>
        <v>2</v>
      </c>
      <c r="I80" s="51">
        <f>6/6*(23835+10900)+7/7*3689</f>
        <v>38424</v>
      </c>
      <c r="J80" s="126"/>
      <c r="K80" s="155"/>
      <c r="L80" s="47"/>
      <c r="M80" s="155"/>
      <c r="N80" s="64"/>
      <c r="O80" s="16" t="s">
        <v>52</v>
      </c>
      <c r="P80" s="12">
        <v>250</v>
      </c>
      <c r="Q80" s="7"/>
      <c r="R80" s="7"/>
      <c r="S80" s="8">
        <f>P80+Q80</f>
        <v>250</v>
      </c>
      <c r="T80" s="139">
        <f>S80+R80</f>
        <v>250</v>
      </c>
      <c r="U80" s="181">
        <f>69834+5/5*88261+8/8*23994+10/10*43897</f>
        <v>225986</v>
      </c>
    </row>
    <row r="81" spans="1:21" ht="12.75">
      <c r="A81" s="103"/>
      <c r="B81" s="82" t="s">
        <v>190</v>
      </c>
      <c r="C81" s="59" t="s">
        <v>189</v>
      </c>
      <c r="D81" s="12"/>
      <c r="E81" s="7"/>
      <c r="F81" s="7">
        <f>12/12*52</f>
        <v>52</v>
      </c>
      <c r="G81" s="21"/>
      <c r="H81" s="139">
        <f t="shared" si="35"/>
        <v>52</v>
      </c>
      <c r="I81" s="51">
        <f>6171/6171*9/9*190909/190909*24745+10/10*26805+12/12*2072+11/11*6112/6112*8235</f>
        <v>61857</v>
      </c>
      <c r="J81" s="126"/>
      <c r="K81" s="155"/>
      <c r="L81" s="47"/>
      <c r="M81" s="155"/>
      <c r="N81" s="64"/>
      <c r="O81" s="16"/>
      <c r="P81" s="12"/>
      <c r="Q81" s="7"/>
      <c r="R81" s="7"/>
      <c r="S81" s="8"/>
      <c r="T81" s="139"/>
      <c r="U81" s="181"/>
    </row>
    <row r="82" spans="1:21" ht="12.75">
      <c r="A82" s="133"/>
      <c r="B82" s="125"/>
      <c r="C82" s="59" t="s">
        <v>134</v>
      </c>
      <c r="D82" s="12"/>
      <c r="E82" s="7"/>
      <c r="F82" s="7">
        <f>12/12*150</f>
        <v>150</v>
      </c>
      <c r="G82" s="21">
        <f t="shared" si="34"/>
        <v>0</v>
      </c>
      <c r="H82" s="139">
        <f t="shared" si="35"/>
        <v>150</v>
      </c>
      <c r="I82" s="51">
        <f>10/10*138749+11/11*11900+12/12*7546</f>
        <v>158195</v>
      </c>
      <c r="J82" s="126"/>
      <c r="K82" s="155"/>
      <c r="L82" s="47"/>
      <c r="M82" s="155"/>
      <c r="N82" s="64"/>
      <c r="O82" s="16"/>
      <c r="P82" s="12"/>
      <c r="Q82" s="7"/>
      <c r="R82" s="7"/>
      <c r="S82" s="8">
        <f>P82+Q82</f>
        <v>0</v>
      </c>
      <c r="T82" s="139">
        <f>S82+R82</f>
        <v>0</v>
      </c>
      <c r="U82" s="181">
        <f>9/9*44103+10/10*42347+12/12*-86450</f>
        <v>0</v>
      </c>
    </row>
    <row r="83" spans="1:21" ht="12.75">
      <c r="A83" s="137"/>
      <c r="B83" s="52"/>
      <c r="C83" s="59" t="s">
        <v>127</v>
      </c>
      <c r="D83" s="12">
        <f>(6/6)*45</f>
        <v>45</v>
      </c>
      <c r="E83" s="7"/>
      <c r="F83" s="7">
        <f>12/12*31</f>
        <v>31</v>
      </c>
      <c r="G83" s="21">
        <f t="shared" si="34"/>
        <v>45</v>
      </c>
      <c r="H83" s="139">
        <f t="shared" si="35"/>
        <v>76</v>
      </c>
      <c r="I83" s="51">
        <f>5/5*24239+6/6*6802+7/7*3000</f>
        <v>34041</v>
      </c>
      <c r="J83" s="126"/>
      <c r="K83" s="155"/>
      <c r="L83" s="47"/>
      <c r="M83" s="155"/>
      <c r="N83" s="64"/>
      <c r="O83" s="16"/>
      <c r="P83" s="12"/>
      <c r="Q83" s="7"/>
      <c r="R83" s="7"/>
      <c r="S83" s="8">
        <f>P83+Q83</f>
        <v>0</v>
      </c>
      <c r="T83" s="139">
        <f>S83+R83</f>
        <v>0</v>
      </c>
      <c r="U83" s="181"/>
    </row>
    <row r="84" spans="1:21" ht="12.75">
      <c r="A84" s="103"/>
      <c r="B84" s="52"/>
      <c r="C84" s="59" t="s">
        <v>175</v>
      </c>
      <c r="D84" s="12">
        <f>(6/6)*10</f>
        <v>10</v>
      </c>
      <c r="E84" s="7"/>
      <c r="F84" s="7">
        <f>12/12*61</f>
        <v>61</v>
      </c>
      <c r="G84" s="21">
        <f>D84+E84</f>
        <v>10</v>
      </c>
      <c r="H84" s="139">
        <f>G84+F84</f>
        <v>71</v>
      </c>
      <c r="I84" s="51">
        <f>5/5*3118+6/6*(54801+102)</f>
        <v>58021</v>
      </c>
      <c r="J84" s="126"/>
      <c r="K84" s="155"/>
      <c r="L84" s="47"/>
      <c r="M84" s="155"/>
      <c r="N84" s="64"/>
      <c r="O84" s="16"/>
      <c r="P84" s="12"/>
      <c r="Q84" s="7"/>
      <c r="R84" s="7"/>
      <c r="S84" s="8"/>
      <c r="T84" s="139"/>
      <c r="U84" s="181"/>
    </row>
    <row r="85" spans="1:21" ht="12.75">
      <c r="A85" s="103"/>
      <c r="B85" s="52"/>
      <c r="C85" s="123" t="s">
        <v>224</v>
      </c>
      <c r="D85" s="12"/>
      <c r="E85" s="7"/>
      <c r="F85" s="7"/>
      <c r="G85" s="21">
        <f>D85+E85</f>
        <v>0</v>
      </c>
      <c r="H85" s="139">
        <f>G85+F85</f>
        <v>0</v>
      </c>
      <c r="I85" s="51">
        <f>160509/160509*(5/5*132+6/6*500)+6/6*(1306/1306*708+99065/99065*1650)</f>
        <v>2990</v>
      </c>
      <c r="J85" s="126"/>
      <c r="K85" s="155"/>
      <c r="L85" s="47"/>
      <c r="M85" s="155"/>
      <c r="N85" s="64"/>
      <c r="O85" s="16"/>
      <c r="P85" s="12"/>
      <c r="Q85" s="7"/>
      <c r="R85" s="7"/>
      <c r="S85" s="8"/>
      <c r="T85" s="139"/>
      <c r="U85" s="181"/>
    </row>
    <row r="86" spans="1:21" ht="12.75">
      <c r="A86" s="137"/>
      <c r="B86" s="52">
        <v>24122008</v>
      </c>
      <c r="C86" s="59" t="s">
        <v>213</v>
      </c>
      <c r="D86" s="12"/>
      <c r="E86" s="7"/>
      <c r="F86" s="7">
        <f>12/12*(2008/2008*217+30)</f>
        <v>247</v>
      </c>
      <c r="G86" s="21">
        <f t="shared" si="34"/>
        <v>0</v>
      </c>
      <c r="H86" s="139">
        <f t="shared" si="35"/>
        <v>247</v>
      </c>
      <c r="I86" s="51">
        <f>213127+2009/2009*12/12*(6112/6112*7702+6171/6171*144735+3319/3319*12000)</f>
        <v>377564</v>
      </c>
      <c r="J86" s="126"/>
      <c r="K86" s="155"/>
      <c r="L86" s="47"/>
      <c r="M86" s="155"/>
      <c r="N86" s="64"/>
      <c r="O86" s="16"/>
      <c r="P86" s="12"/>
      <c r="Q86" s="7"/>
      <c r="R86" s="7"/>
      <c r="S86" s="8">
        <f>P86+Q86</f>
        <v>0</v>
      </c>
      <c r="T86" s="139">
        <f>S86+R86</f>
        <v>0</v>
      </c>
      <c r="U86" s="181"/>
    </row>
    <row r="87" spans="1:21" ht="21.75" customHeight="1">
      <c r="A87" s="277" t="s">
        <v>225</v>
      </c>
      <c r="B87" s="278"/>
      <c r="C87" s="279"/>
      <c r="D87" s="12">
        <v>987</v>
      </c>
      <c r="E87" s="7"/>
      <c r="F87" s="7">
        <f>12/12*(0+(-760+110))</f>
        <v>-650</v>
      </c>
      <c r="G87" s="21">
        <f aca="true" t="shared" si="39" ref="G87:G103">D87+E87</f>
        <v>987</v>
      </c>
      <c r="H87" s="139">
        <f t="shared" si="35"/>
        <v>337</v>
      </c>
      <c r="I87" s="51">
        <f>153/153*(5090*0+5/5*5940*0+7/7*7008*0+8/8*7858*0+12/12*14929)+4520/4520*(18520.8*0+3/3*27746.7*0+4/4*36972.6*0+5/5*47191.5*0+6/6*57410.4*0+7/7*67395*0+8/8*77863.2*0+9/9*88151.1*0+10/10*98619.3*0+12/12*119422.5)+8474/8474*(890*0+3/3*1391*0+4/4*1864*0+5/5*2337*0+6/6*2810*0+7/7*3283*0+8/8*3756*0+9/9*4229*0+10/10*4702*0+11/11*5175*0+12/12*5648)+3/3*(215/215*79520.6+1052/1052*33850*0*4/4)+5/5*(1368/1368*700)</f>
        <v>220220.1</v>
      </c>
      <c r="J87" s="126"/>
      <c r="K87" s="155">
        <f>I87+J87</f>
        <v>220220.1</v>
      </c>
      <c r="L87" s="47"/>
      <c r="M87" s="155">
        <f t="shared" si="32"/>
        <v>220220.1</v>
      </c>
      <c r="N87" s="64"/>
      <c r="O87" s="127" t="s">
        <v>157</v>
      </c>
      <c r="P87" s="12">
        <f>1000*0</f>
        <v>0</v>
      </c>
      <c r="Q87" s="7"/>
      <c r="R87" s="7"/>
      <c r="S87" s="8">
        <f>P87+Q87</f>
        <v>0</v>
      </c>
      <c r="T87" s="139">
        <f>S87+R87</f>
        <v>0</v>
      </c>
      <c r="U87" s="181"/>
    </row>
    <row r="88" spans="1:21" ht="12.75">
      <c r="A88" s="104" t="s">
        <v>115</v>
      </c>
      <c r="B88" s="195">
        <f>(H88+H119*0+H123+H125+H127+H130+H131+H132+H133+H134+H137)-9/9*(2/2*(0)+3/3*(45000*0+47067.2)*0+4/4*46394.2*0+5/5*46742.5*0+6/6*47308.5*0+7/7*48708.2*0+8/8*49274.2*0+12/12*49332.9)-10/10*(0+7/7*60)-11/11*391.4*0</f>
        <v>7.275957614183426E-12</v>
      </c>
      <c r="C88" s="51">
        <f>I88+I119*0+I123+I125+I130+I131+I132+I134+I137+(I127-4351/4351*188000)-(9/9)*(10/10*39277942.73*0+11/11*(42760182.14*0+12/12*(47094129.06-98216/98216*(2033514.98*0+2082303.48)*0-6171/6171*98116/98116*1154000*0)+6/6*8233/8233*57120*0)-3541/3541*6171/6171*4000)-(10/10)*(2/2*((0+4/4*(51379.65+159.5)*0+7/7*(58299.16+319)*0+9/9*(59267.8+478.5)*0+12/12*(59735.92+638))+5342/5342*(60990*0+4/4*207830*0+5/5*270857*0+6/6*333526*0+7/7*419615*0+9/9*553580*0+10/10*627193*0+11/11*692088*0+12/12*830568)))</f>
        <v>1.7462298274040222E-09</v>
      </c>
      <c r="D88" s="13">
        <f>SUM(D64:D87)</f>
        <v>45000</v>
      </c>
      <c r="E88" s="184">
        <f>SUM(E64:E87)</f>
        <v>1634.3</v>
      </c>
      <c r="F88" s="184">
        <f>SUM(F64:F87)</f>
        <v>198</v>
      </c>
      <c r="G88" s="9">
        <f t="shared" si="39"/>
        <v>46634.3</v>
      </c>
      <c r="H88" s="184">
        <f aca="true" t="shared" si="40" ref="H88:M88">SUM(H64:H87)</f>
        <v>46832.3</v>
      </c>
      <c r="I88" s="117">
        <f t="shared" si="40"/>
        <v>44084227.50000001</v>
      </c>
      <c r="J88" s="154">
        <f t="shared" si="40"/>
        <v>-1726561</v>
      </c>
      <c r="K88" s="155">
        <f t="shared" si="40"/>
        <v>30043551.500000007</v>
      </c>
      <c r="L88" s="154">
        <f t="shared" si="40"/>
        <v>7283850.000000002</v>
      </c>
      <c r="M88" s="155">
        <f t="shared" si="40"/>
        <v>37327401.50000001</v>
      </c>
      <c r="N88" s="204">
        <f>T88+(T123+T125+T127+T130+T131+T134-9/9*T68-4/4*(T16+T18))-((10/10)*1050)-(9/9)*11/11*5088.3</f>
        <v>-721</v>
      </c>
      <c r="O88" s="191">
        <f>U88+(U123+U125+U127+U130+U131+U134+U137-9/9*U68-4/4*(U17+U19)*0)+SUM(U89:U103)*0-(9/9)*(2/2*1500468.01*0+3/3*3044943.98*0+4/4*3516743.98*0+5/5*4028412.98*0+6/6*(4390462.98*0+4408086.61)*0+9/9*5873391.1*0+10/10*6462600.1*0+11/11*6607019.5*0+12/12*6650047.34)-10/10*(87.61*0+6/6*166.96*0+9/9*247.06*0+12/12*309.07)</f>
        <v>2.980300450872164E-10</v>
      </c>
      <c r="P88" s="13">
        <f>SUM(P64:P87)</f>
        <v>10931</v>
      </c>
      <c r="Q88" s="184">
        <f>SUM(Q64:Q87)</f>
        <v>-1173</v>
      </c>
      <c r="R88" s="184">
        <f>SUM(R64:R87)</f>
        <v>1741</v>
      </c>
      <c r="S88" s="9">
        <f>P88+Q88</f>
        <v>9758</v>
      </c>
      <c r="T88" s="184">
        <f>SUM(T64:T87)+(10/10)*(T100*0+T102+T123+T125+T134+T139*0-1961.8*0)*0</f>
        <v>11499</v>
      </c>
      <c r="U88" s="205">
        <f>SUM(U64:U87)+(10/10)*((U100-459.47)+U102*0*6/6+U123+U125+U134+U139*0-2020814.9*0)*0</f>
        <v>11624759.410079999</v>
      </c>
    </row>
    <row r="89" spans="1:21" ht="12.75">
      <c r="A89" s="189"/>
      <c r="B89" s="206"/>
      <c r="C89" s="51"/>
      <c r="D89" s="14"/>
      <c r="E89" s="8"/>
      <c r="F89" s="8"/>
      <c r="G89" s="21">
        <f t="shared" si="39"/>
        <v>0</v>
      </c>
      <c r="H89" s="139">
        <f aca="true" t="shared" si="41" ref="H89:H103">G89+F89</f>
        <v>0</v>
      </c>
      <c r="I89" s="51"/>
      <c r="J89" s="126"/>
      <c r="K89" s="192"/>
      <c r="L89" s="47"/>
      <c r="M89" s="155">
        <f>K89+L89</f>
        <v>0</v>
      </c>
      <c r="N89" s="64"/>
      <c r="O89" s="16" t="s">
        <v>40</v>
      </c>
      <c r="P89" s="12">
        <f>250+35+520+13+250+1300</f>
        <v>2368</v>
      </c>
      <c r="Q89" s="7"/>
      <c r="R89" s="7">
        <f>3/3*(150*0+50)</f>
        <v>50</v>
      </c>
      <c r="S89" s="8">
        <f>P89+Q89</f>
        <v>2368</v>
      </c>
      <c r="T89" s="139">
        <f>S89+R89</f>
        <v>2418</v>
      </c>
      <c r="U89" s="181">
        <f>1/1*(10/10*249964.75*0+11/11*265396.5*0+12/12*265022.5)+2/2*(10/10*23535*0+11/11*29092.5*0+12/12*27247.5)+3/3*(10/10*360373*0+11/11*380028*0+12/12*403273)+4/4*(5991*0+4/4*6056*0+5/5*9467*0+6/6*13475*7/7*8/8*9/9*10/10*11/11*12/12)+5/5*(58068*0+3/3*72780*0+4/4*100784*0+5/5*134060*0+6/6*149824*0+7/7*191276*0+8/8*203444*0+9/9*214556*0+10/10*241348*0+11/11*263676*0+12/12*281620)+7/7*(120000*0+3/3*404052*0+4/4*418366*0+5/5*473366*0+6/6*608366*7/7*0+8/8*995464*0+9/9*1010464*0+10/10*1050464*0+11/11*(605000*0+12/12*690000+1351/1351*545464))</f>
        <v>2226102</v>
      </c>
    </row>
    <row r="90" spans="1:21" ht="12.75">
      <c r="A90" s="118"/>
      <c r="B90" s="142"/>
      <c r="C90" s="51"/>
      <c r="D90" s="14"/>
      <c r="E90" s="8"/>
      <c r="F90" s="8"/>
      <c r="G90" s="21">
        <f t="shared" si="39"/>
        <v>0</v>
      </c>
      <c r="H90" s="139">
        <f t="shared" si="41"/>
        <v>0</v>
      </c>
      <c r="I90" s="51"/>
      <c r="J90" s="126"/>
      <c r="K90" s="192"/>
      <c r="L90" s="47"/>
      <c r="M90" s="155">
        <f>K90+L90</f>
        <v>0</v>
      </c>
      <c r="N90" s="64"/>
      <c r="O90" s="16" t="s">
        <v>53</v>
      </c>
      <c r="P90" s="12">
        <v>3400</v>
      </c>
      <c r="Q90" s="7"/>
      <c r="R90" s="7">
        <f>12/12*-846</f>
        <v>-846</v>
      </c>
      <c r="S90" s="8">
        <f aca="true" t="shared" si="42" ref="S90:S102">P90+Q90</f>
        <v>3400</v>
      </c>
      <c r="T90" s="139">
        <f aca="true" t="shared" si="43" ref="T90:T102">S90+R90</f>
        <v>2554</v>
      </c>
      <c r="U90" s="181">
        <f>268192*0+3/3*480799*0+4/4*668459+5/5*217585+6/6*(797390+18330)+7/7*264985+8/8*122415+9/9*170720+10/10*144110+11/11*146105+12/12*188746</f>
        <v>2738845</v>
      </c>
    </row>
    <row r="91" spans="1:21" ht="12.75">
      <c r="A91" s="47"/>
      <c r="B91" s="183"/>
      <c r="C91" s="51"/>
      <c r="D91" s="14"/>
      <c r="E91" s="8"/>
      <c r="F91" s="8"/>
      <c r="G91" s="21">
        <f t="shared" si="39"/>
        <v>0</v>
      </c>
      <c r="H91" s="139">
        <f t="shared" si="41"/>
        <v>0</v>
      </c>
      <c r="I91" s="51"/>
      <c r="J91" s="126"/>
      <c r="K91" s="192"/>
      <c r="L91" s="47"/>
      <c r="M91" s="155">
        <f>K91+L91</f>
        <v>0</v>
      </c>
      <c r="N91" s="64"/>
      <c r="O91" s="16" t="s">
        <v>54</v>
      </c>
      <c r="P91" s="12">
        <v>5000</v>
      </c>
      <c r="Q91" s="7"/>
      <c r="R91" s="7"/>
      <c r="S91" s="8">
        <f t="shared" si="42"/>
        <v>5000</v>
      </c>
      <c r="T91" s="139">
        <f t="shared" si="43"/>
        <v>5000</v>
      </c>
      <c r="U91" s="181">
        <f>4/4*7790+5/5*1357+7/7*3193368+8/8*108551+9/9*37435+10/10*1227+11/11*16354+12/12*1791186.94</f>
        <v>5157268.9399999995</v>
      </c>
    </row>
    <row r="92" spans="1:21" ht="12.75" hidden="1">
      <c r="A92" s="5"/>
      <c r="B92" s="6"/>
      <c r="C92" s="59"/>
      <c r="D92" s="14"/>
      <c r="E92" s="8"/>
      <c r="F92" s="8"/>
      <c r="G92" s="21">
        <f t="shared" si="39"/>
        <v>0</v>
      </c>
      <c r="H92" s="139">
        <f t="shared" si="41"/>
        <v>0</v>
      </c>
      <c r="I92" s="51"/>
      <c r="J92" s="126"/>
      <c r="K92" s="192"/>
      <c r="L92" s="47"/>
      <c r="M92" s="155">
        <f>K92+L92</f>
        <v>0</v>
      </c>
      <c r="N92" s="64"/>
      <c r="O92" s="16" t="s">
        <v>33</v>
      </c>
      <c r="P92" s="12"/>
      <c r="Q92" s="7"/>
      <c r="R92" s="7"/>
      <c r="S92" s="8">
        <f t="shared" si="42"/>
        <v>0</v>
      </c>
      <c r="T92" s="139">
        <f t="shared" si="43"/>
        <v>0</v>
      </c>
      <c r="U92" s="181"/>
    </row>
    <row r="93" spans="1:21" ht="12.75">
      <c r="A93" s="47"/>
      <c r="B93" s="6"/>
      <c r="C93" s="51"/>
      <c r="D93" s="14"/>
      <c r="E93" s="8"/>
      <c r="F93" s="8"/>
      <c r="G93" s="21">
        <f t="shared" si="39"/>
        <v>0</v>
      </c>
      <c r="H93" s="139">
        <f t="shared" si="41"/>
        <v>0</v>
      </c>
      <c r="I93" s="51"/>
      <c r="J93" s="126"/>
      <c r="K93" s="192"/>
      <c r="L93" s="47"/>
      <c r="M93" s="155">
        <f>K93+L93</f>
        <v>0</v>
      </c>
      <c r="N93" s="64"/>
      <c r="O93" s="18" t="s">
        <v>155</v>
      </c>
      <c r="P93" s="128">
        <f>768*1401/1000+0.032-P16-P18</f>
        <v>0</v>
      </c>
      <c r="Q93" s="188">
        <f>768*1401/1000+0.032+4/4*16-Q16-Q18-1076</f>
        <v>0</v>
      </c>
      <c r="R93" s="7"/>
      <c r="S93" s="8">
        <f t="shared" si="42"/>
        <v>0</v>
      </c>
      <c r="T93" s="139">
        <f t="shared" si="43"/>
        <v>0</v>
      </c>
      <c r="U93" s="181">
        <f>((1076000+4/4*16000)/12+333.33333*0)*12-U17-U19</f>
        <v>8.000002708286047E-05</v>
      </c>
    </row>
    <row r="94" spans="1:21" ht="12.75">
      <c r="A94" s="47"/>
      <c r="B94" s="6"/>
      <c r="C94" s="59"/>
      <c r="D94" s="14"/>
      <c r="E94" s="8"/>
      <c r="F94" s="8"/>
      <c r="G94" s="21">
        <f t="shared" si="39"/>
        <v>0</v>
      </c>
      <c r="H94" s="139">
        <f t="shared" si="41"/>
        <v>0</v>
      </c>
      <c r="I94" s="51"/>
      <c r="J94" s="126"/>
      <c r="K94" s="192"/>
      <c r="L94" s="47"/>
      <c r="M94" s="155">
        <f aca="true" t="shared" si="44" ref="M94:M103">K94+L94</f>
        <v>0</v>
      </c>
      <c r="N94" s="64"/>
      <c r="O94" s="18" t="s">
        <v>154</v>
      </c>
      <c r="P94" s="128">
        <f>(8342*1158.12/1000-0.037)+(2193+626+1957+9187)*15.8/1000-0.6154+9881*0-P68</f>
        <v>3.9999998989515007E-05</v>
      </c>
      <c r="Q94" s="188">
        <f>(8342*1158.12/1000-0.037)+(2193+626+1957+9187)*15.8/1000-0.6154+4/4*-1173+9881*0-Q68-9881</f>
        <v>3.9999998989515007E-05</v>
      </c>
      <c r="R94" s="7"/>
      <c r="S94" s="8">
        <f t="shared" si="42"/>
        <v>7.999999797903001E-05</v>
      </c>
      <c r="T94" s="139">
        <f t="shared" si="43"/>
        <v>7.999999797903001E-05</v>
      </c>
      <c r="U94" s="181">
        <f>((9881000-1173000)/12-416.6666667*0+4/4*64333.3333*0+5/5*45133.3333*0+6/6*32333.3333*0+7/7*162333.3333/7*0+8/8*185523.8096/8*0+9/9*17095.23814*0+10/10*6733.333*0+11/11*(6696.9697036-38000/11)*0+12/12*0)*12-54857.1432*0-U68</f>
        <v>-7.999874651432037E-05</v>
      </c>
    </row>
    <row r="95" spans="1:21" ht="12.75">
      <c r="A95" s="47"/>
      <c r="B95" s="6"/>
      <c r="C95" s="51"/>
      <c r="D95" s="14"/>
      <c r="E95" s="8"/>
      <c r="F95" s="8"/>
      <c r="G95" s="21">
        <f t="shared" si="39"/>
        <v>0</v>
      </c>
      <c r="H95" s="139">
        <f t="shared" si="41"/>
        <v>0</v>
      </c>
      <c r="I95" s="51"/>
      <c r="J95" s="126"/>
      <c r="K95" s="192"/>
      <c r="L95" s="47"/>
      <c r="M95" s="155">
        <f t="shared" si="44"/>
        <v>0</v>
      </c>
      <c r="N95" s="64"/>
      <c r="O95" s="16" t="s">
        <v>55</v>
      </c>
      <c r="P95" s="126">
        <f>2008/2008*27518*0+2009/2009*(7685+8327*1.291461511-10754*0+9.2982*1623.4324916-15095*0)</f>
        <v>33533.99999549212</v>
      </c>
      <c r="Q95" s="207"/>
      <c r="R95" s="7"/>
      <c r="S95" s="8">
        <f t="shared" si="42"/>
        <v>33533.99999549212</v>
      </c>
      <c r="T95" s="139">
        <f t="shared" si="43"/>
        <v>33533.99999549212</v>
      </c>
      <c r="U95" s="181">
        <f>2008/2008*27518*0+2009/2009*(33534000/12-500)*12+913000*3*0</f>
        <v>33528000</v>
      </c>
    </row>
    <row r="96" spans="1:21" ht="12.75">
      <c r="A96" s="47"/>
      <c r="B96" s="6"/>
      <c r="C96" s="59"/>
      <c r="D96" s="14"/>
      <c r="E96" s="8"/>
      <c r="F96" s="8"/>
      <c r="G96" s="21">
        <f t="shared" si="39"/>
        <v>0</v>
      </c>
      <c r="H96" s="139">
        <f t="shared" si="41"/>
        <v>0</v>
      </c>
      <c r="I96" s="51"/>
      <c r="J96" s="126"/>
      <c r="K96" s="192"/>
      <c r="L96" s="47"/>
      <c r="M96" s="155">
        <f t="shared" si="44"/>
        <v>0</v>
      </c>
      <c r="N96" s="64"/>
      <c r="O96" s="16" t="s">
        <v>34</v>
      </c>
      <c r="P96" s="12"/>
      <c r="Q96" s="7">
        <f>7/7*99/99*2198.3</f>
        <v>2198.3</v>
      </c>
      <c r="R96" s="7"/>
      <c r="S96" s="8">
        <f t="shared" si="42"/>
        <v>2198.3</v>
      </c>
      <c r="T96" s="139">
        <f t="shared" si="43"/>
        <v>2198.3</v>
      </c>
      <c r="U96" s="181">
        <f>7/7*2198334.76</f>
        <v>2198334.76</v>
      </c>
    </row>
    <row r="97" spans="1:21" ht="12.75">
      <c r="A97" s="5"/>
      <c r="B97" s="6"/>
      <c r="C97" s="59"/>
      <c r="D97" s="14"/>
      <c r="E97" s="8"/>
      <c r="F97" s="8"/>
      <c r="G97" s="21">
        <f t="shared" si="39"/>
        <v>0</v>
      </c>
      <c r="H97" s="139">
        <f t="shared" si="41"/>
        <v>0</v>
      </c>
      <c r="I97" s="51"/>
      <c r="J97" s="126"/>
      <c r="K97" s="192"/>
      <c r="L97" s="47"/>
      <c r="M97" s="155">
        <f t="shared" si="44"/>
        <v>0</v>
      </c>
      <c r="N97" s="64"/>
      <c r="O97" s="16" t="s">
        <v>56</v>
      </c>
      <c r="P97" s="12">
        <f>44485-3959-3612/3612*1000</f>
        <v>39526</v>
      </c>
      <c r="Q97" s="7"/>
      <c r="R97" s="7">
        <f>12/12*(57323-40532)+16791*0</f>
        <v>16791</v>
      </c>
      <c r="S97" s="8">
        <f t="shared" si="42"/>
        <v>39526</v>
      </c>
      <c r="T97" s="139">
        <f t="shared" si="43"/>
        <v>56317</v>
      </c>
      <c r="U97" s="181">
        <f>16350000+3/3*2100000+4/4*19000000+5/5*300000+6/6*400000+7/7*3000000+8/8*6000000+10/10*8000000+11/11*2500000+12/12*6000000</f>
        <v>63650000</v>
      </c>
    </row>
    <row r="98" spans="1:21" ht="12.75" hidden="1">
      <c r="A98" s="5"/>
      <c r="B98" s="6"/>
      <c r="C98" s="59"/>
      <c r="D98" s="14"/>
      <c r="E98" s="8"/>
      <c r="F98" s="8"/>
      <c r="G98" s="21">
        <f t="shared" si="39"/>
        <v>0</v>
      </c>
      <c r="H98" s="139">
        <f t="shared" si="41"/>
        <v>0</v>
      </c>
      <c r="I98" s="51"/>
      <c r="J98" s="126"/>
      <c r="K98" s="192"/>
      <c r="L98" s="47"/>
      <c r="M98" s="155">
        <f t="shared" si="44"/>
        <v>0</v>
      </c>
      <c r="N98" s="64"/>
      <c r="O98" s="18" t="s">
        <v>161</v>
      </c>
      <c r="P98" s="12"/>
      <c r="Q98" s="7"/>
      <c r="R98" s="7"/>
      <c r="S98" s="8">
        <f t="shared" si="42"/>
        <v>0</v>
      </c>
      <c r="T98" s="139">
        <f t="shared" si="43"/>
        <v>0</v>
      </c>
      <c r="U98" s="181"/>
    </row>
    <row r="99" spans="1:21" ht="12.75" hidden="1">
      <c r="A99" s="5"/>
      <c r="B99" s="6"/>
      <c r="C99" s="59"/>
      <c r="D99" s="14"/>
      <c r="E99" s="8"/>
      <c r="F99" s="8"/>
      <c r="G99" s="21">
        <f t="shared" si="39"/>
        <v>0</v>
      </c>
      <c r="H99" s="139">
        <f t="shared" si="41"/>
        <v>0</v>
      </c>
      <c r="I99" s="51"/>
      <c r="J99" s="126"/>
      <c r="K99" s="192"/>
      <c r="L99" s="47"/>
      <c r="M99" s="155">
        <f t="shared" si="44"/>
        <v>0</v>
      </c>
      <c r="N99" s="64"/>
      <c r="O99" s="16" t="s">
        <v>35</v>
      </c>
      <c r="P99" s="12"/>
      <c r="Q99" s="7"/>
      <c r="R99" s="7"/>
      <c r="S99" s="8">
        <f t="shared" si="42"/>
        <v>0</v>
      </c>
      <c r="T99" s="139">
        <f t="shared" si="43"/>
        <v>0</v>
      </c>
      <c r="U99" s="181"/>
    </row>
    <row r="100" spans="1:21" ht="12.75" hidden="1">
      <c r="A100" s="5"/>
      <c r="B100" s="6"/>
      <c r="C100" s="59"/>
      <c r="D100" s="14"/>
      <c r="E100" s="8"/>
      <c r="F100" s="8"/>
      <c r="G100" s="21">
        <f t="shared" si="39"/>
        <v>0</v>
      </c>
      <c r="H100" s="139">
        <f t="shared" si="41"/>
        <v>0</v>
      </c>
      <c r="I100" s="51"/>
      <c r="J100" s="126"/>
      <c r="K100" s="192"/>
      <c r="L100" s="47"/>
      <c r="M100" s="155">
        <f t="shared" si="44"/>
        <v>0</v>
      </c>
      <c r="N100" s="64"/>
      <c r="O100" s="16" t="s">
        <v>36</v>
      </c>
      <c r="P100" s="12"/>
      <c r="Q100" s="7"/>
      <c r="R100" s="7"/>
      <c r="S100" s="8">
        <f t="shared" si="42"/>
        <v>0</v>
      </c>
      <c r="T100" s="139">
        <f t="shared" si="43"/>
        <v>0</v>
      </c>
      <c r="U100" s="181"/>
    </row>
    <row r="101" spans="1:21" ht="12.75">
      <c r="A101" s="5"/>
      <c r="B101" s="6"/>
      <c r="C101" s="59"/>
      <c r="D101" s="14"/>
      <c r="E101" s="8"/>
      <c r="F101" s="8"/>
      <c r="G101" s="21">
        <f t="shared" si="39"/>
        <v>0</v>
      </c>
      <c r="H101" s="139">
        <f t="shared" si="41"/>
        <v>0</v>
      </c>
      <c r="I101" s="51"/>
      <c r="J101" s="126"/>
      <c r="K101" s="192"/>
      <c r="L101" s="47"/>
      <c r="M101" s="155">
        <f t="shared" si="44"/>
        <v>0</v>
      </c>
      <c r="N101" s="64"/>
      <c r="O101" s="55" t="s">
        <v>160</v>
      </c>
      <c r="P101" s="12"/>
      <c r="Q101" s="7">
        <f>-1888.8+63.4+1825.4*0+10/10*1784.4</f>
        <v>-40.99999999999977</v>
      </c>
      <c r="R101" s="7"/>
      <c r="S101" s="8">
        <f t="shared" si="42"/>
        <v>-40.99999999999977</v>
      </c>
      <c r="T101" s="139">
        <f t="shared" si="43"/>
        <v>-40.99999999999977</v>
      </c>
      <c r="U101" s="181">
        <f>3/3*-1888807.3+7/7*63455.55+10/10*1784369.44</f>
        <v>-40982.310000000056</v>
      </c>
    </row>
    <row r="102" spans="1:21" ht="12.75" hidden="1">
      <c r="A102" s="5"/>
      <c r="B102" s="6"/>
      <c r="C102" s="59"/>
      <c r="D102" s="14"/>
      <c r="E102" s="8"/>
      <c r="F102" s="8"/>
      <c r="G102" s="21">
        <f t="shared" si="39"/>
        <v>0</v>
      </c>
      <c r="H102" s="139">
        <f t="shared" si="41"/>
        <v>0</v>
      </c>
      <c r="I102" s="51"/>
      <c r="J102" s="126"/>
      <c r="K102" s="192"/>
      <c r="L102" s="47"/>
      <c r="M102" s="155">
        <f t="shared" si="44"/>
        <v>0</v>
      </c>
      <c r="N102" s="68"/>
      <c r="O102" s="18" t="s">
        <v>159</v>
      </c>
      <c r="P102" s="12"/>
      <c r="Q102" s="7"/>
      <c r="R102" s="7"/>
      <c r="S102" s="8">
        <f t="shared" si="42"/>
        <v>0</v>
      </c>
      <c r="T102" s="139">
        <f t="shared" si="43"/>
        <v>0</v>
      </c>
      <c r="U102" s="181"/>
    </row>
    <row r="103" spans="1:21" ht="12.75" hidden="1">
      <c r="A103" s="5"/>
      <c r="B103" s="6"/>
      <c r="C103" s="59"/>
      <c r="D103" s="14"/>
      <c r="E103" s="8"/>
      <c r="F103" s="8"/>
      <c r="G103" s="21">
        <f t="shared" si="39"/>
        <v>0</v>
      </c>
      <c r="H103" s="139">
        <f t="shared" si="41"/>
        <v>0</v>
      </c>
      <c r="I103" s="51"/>
      <c r="J103" s="126"/>
      <c r="K103" s="192"/>
      <c r="L103" s="47"/>
      <c r="M103" s="155">
        <f t="shared" si="44"/>
        <v>0</v>
      </c>
      <c r="N103" s="64">
        <f>P88+P105-(1050+94785-4/4*(343+733))</f>
        <v>3.549212124198675E-05</v>
      </c>
      <c r="O103" s="200">
        <f>160923.33</f>
        <v>160923.33</v>
      </c>
      <c r="P103" s="12"/>
      <c r="Q103" s="7"/>
      <c r="R103" s="7"/>
      <c r="S103" s="8"/>
      <c r="T103" s="139">
        <f>S103+R103</f>
        <v>0</v>
      </c>
      <c r="U103" s="181"/>
    </row>
    <row r="104" spans="1:21" ht="12.75" hidden="1">
      <c r="A104" s="5"/>
      <c r="B104" s="6"/>
      <c r="C104" s="59"/>
      <c r="D104" s="14"/>
      <c r="E104" s="8"/>
      <c r="F104" s="8"/>
      <c r="G104" s="8"/>
      <c r="H104" s="208"/>
      <c r="I104" s="51"/>
      <c r="J104" s="126"/>
      <c r="K104" s="192"/>
      <c r="L104" s="193"/>
      <c r="M104" s="193"/>
      <c r="N104" s="64"/>
      <c r="O104" s="16" t="s">
        <v>37</v>
      </c>
      <c r="P104" s="17"/>
      <c r="Q104" s="179"/>
      <c r="R104" s="179"/>
      <c r="S104" s="8">
        <f>P104+Q104</f>
        <v>0</v>
      </c>
      <c r="T104" s="208"/>
      <c r="U104" s="181"/>
    </row>
    <row r="105" spans="1:21" ht="13.5" thickBot="1">
      <c r="A105" s="23"/>
      <c r="B105" s="24"/>
      <c r="C105" s="105"/>
      <c r="D105" s="25">
        <f>SUM(D89:D104)</f>
        <v>0</v>
      </c>
      <c r="E105" s="209">
        <f>SUM(E89:E104)</f>
        <v>0</v>
      </c>
      <c r="F105" s="209">
        <f>SUM(F89:F104)</f>
        <v>0</v>
      </c>
      <c r="G105" s="26">
        <f>D105+E105</f>
        <v>0</v>
      </c>
      <c r="H105" s="209">
        <f aca="true" t="shared" si="45" ref="H105:M105">SUM(H89:H104)</f>
        <v>0</v>
      </c>
      <c r="I105" s="70">
        <f t="shared" si="45"/>
        <v>0</v>
      </c>
      <c r="J105" s="156">
        <f t="shared" si="45"/>
        <v>0</v>
      </c>
      <c r="K105" s="157">
        <f t="shared" si="45"/>
        <v>0</v>
      </c>
      <c r="L105" s="156">
        <f t="shared" si="45"/>
        <v>0</v>
      </c>
      <c r="M105" s="157">
        <f t="shared" si="45"/>
        <v>0</v>
      </c>
      <c r="N105" s="121">
        <f>T105-((9/9)*(10931)+(10/10)*(83828+50995*0+2/2*(0-0-4/4*((343+4/4*5)+(733+4/4*15))-9/9*9881-2141/2141*0)+2008/2008*0+12/12*16/16*0))</f>
        <v>18198.300075492123</v>
      </c>
      <c r="O105" s="121">
        <f>U105+U127*0-((9/9)*0+(10/10)*((56679622.01-32385434.51)*0+4/4*(111657985.79-59931028.23-87.61)*0+9/9*(209549468.18*0+10/10*239057325.11*0+11/11*251276421.61-122025174.36*0-10/10*137882843.85*0-11/11*143697509.1-247.06-700*0*10/10)-9/9*U68-4/4*(U17+U19)))</f>
        <v>11678902.939999968</v>
      </c>
      <c r="P105" s="25">
        <f>SUM(P89:P104)</f>
        <v>83828.00003549212</v>
      </c>
      <c r="Q105" s="209">
        <f>SUM(Q89:Q104)</f>
        <v>2157.300039999999</v>
      </c>
      <c r="R105" s="209">
        <f>SUM(R89:R104)</f>
        <v>15995</v>
      </c>
      <c r="S105" s="26">
        <f>P105+Q105</f>
        <v>85985.30007549212</v>
      </c>
      <c r="T105" s="209">
        <f>SUM(T89:T104)</f>
        <v>101980.30007549212</v>
      </c>
      <c r="U105" s="210">
        <f>SUM(U89:U104)</f>
        <v>109457568.38999999</v>
      </c>
    </row>
    <row r="106" spans="1:21" ht="14.25" thickBot="1" thickTop="1">
      <c r="A106" s="144" t="s">
        <v>62</v>
      </c>
      <c r="B106" s="145"/>
      <c r="C106" s="146"/>
      <c r="D106" s="152">
        <f>SUM(D3:D105)/2</f>
        <v>97585</v>
      </c>
      <c r="E106" s="27">
        <f>SUM(E3:E105)/2</f>
        <v>2214.3000003</v>
      </c>
      <c r="F106" s="27">
        <f>SUM(F3:F105)/2</f>
        <v>17736</v>
      </c>
      <c r="G106" s="27">
        <f aca="true" t="shared" si="46" ref="G106:M106">SUM(G3:G105)/2</f>
        <v>99799.30000029999</v>
      </c>
      <c r="H106" s="27">
        <f>SUM(H3:H105)/2</f>
        <v>117535.30000029999</v>
      </c>
      <c r="I106" s="211">
        <f t="shared" si="46"/>
        <v>113371987.75000001</v>
      </c>
      <c r="J106" s="211">
        <f t="shared" si="46"/>
        <v>-2281046</v>
      </c>
      <c r="K106" s="211">
        <f t="shared" si="46"/>
        <v>50999813.81</v>
      </c>
      <c r="L106" s="211">
        <f t="shared" si="46"/>
        <v>10323431</v>
      </c>
      <c r="M106" s="211">
        <f t="shared" si="46"/>
        <v>61323244.81</v>
      </c>
      <c r="N106" s="71"/>
      <c r="O106" s="28" t="s">
        <v>63</v>
      </c>
      <c r="P106" s="152">
        <f aca="true" t="shared" si="47" ref="P106:U106">SUM(P3:P105)/2</f>
        <v>97585.00003549212</v>
      </c>
      <c r="Q106" s="27">
        <f t="shared" si="47"/>
        <v>1000.3000399999993</v>
      </c>
      <c r="R106" s="27">
        <f t="shared" si="47"/>
        <v>17736</v>
      </c>
      <c r="S106" s="27">
        <f t="shared" si="47"/>
        <v>98585.30007549212</v>
      </c>
      <c r="T106" s="27">
        <f t="shared" si="47"/>
        <v>116321.30007549212</v>
      </c>
      <c r="U106" s="212">
        <f t="shared" si="47"/>
        <v>122931558.79999998</v>
      </c>
    </row>
    <row r="107" spans="15:21" ht="13.5" thickTop="1">
      <c r="O107" s="74" t="s">
        <v>61</v>
      </c>
      <c r="P107" s="215">
        <f aca="true" t="shared" si="48" ref="P107:U107">P106-D106</f>
        <v>3.549212124198675E-05</v>
      </c>
      <c r="Q107" s="215">
        <f t="shared" si="48"/>
        <v>-1213.999960300001</v>
      </c>
      <c r="R107" s="215">
        <f t="shared" si="48"/>
        <v>0</v>
      </c>
      <c r="S107" s="215">
        <f t="shared" si="48"/>
        <v>-1213.9999248078675</v>
      </c>
      <c r="T107" s="215">
        <f t="shared" si="48"/>
        <v>-1213.9999248078675</v>
      </c>
      <c r="U107" s="216">
        <f t="shared" si="48"/>
        <v>9559571.049999967</v>
      </c>
    </row>
    <row r="108" spans="3:21" ht="12.75">
      <c r="C108" s="49"/>
      <c r="E108" s="217"/>
      <c r="G108" s="218"/>
      <c r="H108" s="60"/>
      <c r="I108" s="219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218"/>
      <c r="U108" s="216"/>
    </row>
    <row r="109" spans="1:21" ht="12.75">
      <c r="A109" s="60"/>
      <c r="B109" s="60"/>
      <c r="C109" s="60"/>
      <c r="H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218"/>
      <c r="U109" s="216"/>
    </row>
    <row r="110" spans="1:21" ht="23.25" thickBot="1">
      <c r="A110" s="29" t="s">
        <v>65</v>
      </c>
      <c r="B110" s="29"/>
      <c r="C110" s="46"/>
      <c r="J110" s="163"/>
      <c r="K110" s="163" t="s">
        <v>100</v>
      </c>
      <c r="L110" s="163" t="s">
        <v>101</v>
      </c>
      <c r="M110" s="163" t="s">
        <v>100</v>
      </c>
      <c r="U110" s="219"/>
    </row>
    <row r="111" spans="1:21" ht="14.25" hidden="1" thickBot="1" thickTop="1">
      <c r="A111" s="31"/>
      <c r="B111" s="43"/>
      <c r="C111" s="56"/>
      <c r="D111" s="32"/>
      <c r="E111" s="57"/>
      <c r="F111" s="57"/>
      <c r="G111" s="42">
        <f>D111+E111</f>
        <v>0</v>
      </c>
      <c r="H111" s="95">
        <f aca="true" t="shared" si="49" ref="H111:H128">G111+F111</f>
        <v>0</v>
      </c>
      <c r="I111" s="83"/>
      <c r="J111" s="221"/>
      <c r="K111" s="222">
        <f>I111+J111</f>
        <v>0</v>
      </c>
      <c r="L111" s="221"/>
      <c r="M111" s="222">
        <f>K111+L111</f>
        <v>0</v>
      </c>
      <c r="N111" s="75"/>
      <c r="O111" s="76"/>
      <c r="P111" s="33"/>
      <c r="Q111" s="223"/>
      <c r="R111" s="223"/>
      <c r="S111" s="42">
        <f>P111+Q111</f>
        <v>0</v>
      </c>
      <c r="T111" s="95">
        <f>S111+R111</f>
        <v>0</v>
      </c>
      <c r="U111" s="224"/>
    </row>
    <row r="112" spans="1:21" ht="13.5" hidden="1" thickBot="1">
      <c r="A112" s="30"/>
      <c r="B112" s="58"/>
      <c r="C112" s="59"/>
      <c r="D112" s="20"/>
      <c r="E112" s="180"/>
      <c r="F112" s="180"/>
      <c r="G112" s="8">
        <f>D112+E112</f>
        <v>0</v>
      </c>
      <c r="H112" s="139">
        <f t="shared" si="49"/>
        <v>0</v>
      </c>
      <c r="I112" s="51"/>
      <c r="J112" s="225"/>
      <c r="K112" s="226">
        <f>I112+J112</f>
        <v>0</v>
      </c>
      <c r="L112" s="225">
        <v>462792</v>
      </c>
      <c r="M112" s="226">
        <f>K112+L112</f>
        <v>462792</v>
      </c>
      <c r="N112" s="78"/>
      <c r="O112" s="65"/>
      <c r="P112" s="17"/>
      <c r="Q112" s="179"/>
      <c r="R112" s="179"/>
      <c r="S112" s="8">
        <f>P112+Q112</f>
        <v>0</v>
      </c>
      <c r="T112" s="139">
        <f>S112+R112</f>
        <v>0</v>
      </c>
      <c r="U112" s="181"/>
    </row>
    <row r="113" spans="1:21" ht="13.5" hidden="1" thickBot="1">
      <c r="A113" s="30"/>
      <c r="B113" s="58"/>
      <c r="C113" s="59"/>
      <c r="D113" s="12"/>
      <c r="E113" s="180"/>
      <c r="F113" s="180"/>
      <c r="G113" s="8">
        <f aca="true" t="shared" si="50" ref="G113:G141">D113+E113</f>
        <v>0</v>
      </c>
      <c r="H113" s="139">
        <f t="shared" si="49"/>
        <v>0</v>
      </c>
      <c r="I113" s="51"/>
      <c r="J113" s="227"/>
      <c r="K113" s="155">
        <f>I113+J113</f>
        <v>0</v>
      </c>
      <c r="L113" s="227"/>
      <c r="M113" s="155">
        <f>K113+L113</f>
        <v>0</v>
      </c>
      <c r="N113" s="78"/>
      <c r="O113" s="65"/>
      <c r="P113" s="17"/>
      <c r="Q113" s="179"/>
      <c r="R113" s="179"/>
      <c r="S113" s="8">
        <f aca="true" t="shared" si="51" ref="S113:S127">P113+Q113</f>
        <v>0</v>
      </c>
      <c r="T113" s="139">
        <f aca="true" t="shared" si="52" ref="T113:T141">S113+R113</f>
        <v>0</v>
      </c>
      <c r="U113" s="181"/>
    </row>
    <row r="114" spans="1:21" ht="13.5" hidden="1" thickBot="1">
      <c r="A114" s="30"/>
      <c r="B114" s="58"/>
      <c r="C114" s="59"/>
      <c r="D114" s="12"/>
      <c r="E114" s="180"/>
      <c r="F114" s="180"/>
      <c r="G114" s="8">
        <f t="shared" si="50"/>
        <v>0</v>
      </c>
      <c r="H114" s="139">
        <f t="shared" si="49"/>
        <v>0</v>
      </c>
      <c r="I114" s="51"/>
      <c r="J114" s="227"/>
      <c r="K114" s="155">
        <f aca="true" t="shared" si="53" ref="K114:K125">I114+J114</f>
        <v>0</v>
      </c>
      <c r="L114" s="227">
        <v>267716.05</v>
      </c>
      <c r="M114" s="155">
        <f aca="true" t="shared" si="54" ref="M114:M135">K114+L114</f>
        <v>267716.05</v>
      </c>
      <c r="N114" s="78"/>
      <c r="O114" s="65"/>
      <c r="P114" s="17"/>
      <c r="Q114" s="179"/>
      <c r="R114" s="179"/>
      <c r="S114" s="8">
        <f t="shared" si="51"/>
        <v>0</v>
      </c>
      <c r="T114" s="139">
        <f t="shared" si="52"/>
        <v>0</v>
      </c>
      <c r="U114" s="181"/>
    </row>
    <row r="115" spans="1:21" ht="13.5" hidden="1" thickBot="1">
      <c r="A115" s="30"/>
      <c r="B115" s="58"/>
      <c r="C115" s="59"/>
      <c r="D115" s="12"/>
      <c r="E115" s="180"/>
      <c r="F115" s="180"/>
      <c r="G115" s="8">
        <f t="shared" si="50"/>
        <v>0</v>
      </c>
      <c r="H115" s="139">
        <f t="shared" si="49"/>
        <v>0</v>
      </c>
      <c r="I115" s="51"/>
      <c r="J115" s="227"/>
      <c r="K115" s="155">
        <f t="shared" si="53"/>
        <v>0</v>
      </c>
      <c r="L115" s="227"/>
      <c r="M115" s="155">
        <f t="shared" si="54"/>
        <v>0</v>
      </c>
      <c r="N115" s="78"/>
      <c r="O115" s="65"/>
      <c r="P115" s="17"/>
      <c r="Q115" s="179"/>
      <c r="R115" s="179"/>
      <c r="S115" s="8">
        <f t="shared" si="51"/>
        <v>0</v>
      </c>
      <c r="T115" s="139">
        <f t="shared" si="52"/>
        <v>0</v>
      </c>
      <c r="U115" s="181"/>
    </row>
    <row r="116" spans="1:21" ht="13.5" hidden="1" thickBot="1">
      <c r="A116" s="30"/>
      <c r="B116" s="58"/>
      <c r="C116" s="59"/>
      <c r="D116" s="12"/>
      <c r="E116" s="180"/>
      <c r="F116" s="180"/>
      <c r="G116" s="8">
        <f t="shared" si="50"/>
        <v>0</v>
      </c>
      <c r="H116" s="139">
        <f t="shared" si="49"/>
        <v>0</v>
      </c>
      <c r="I116" s="84"/>
      <c r="J116" s="227"/>
      <c r="K116" s="155">
        <f t="shared" si="53"/>
        <v>0</v>
      </c>
      <c r="L116" s="227"/>
      <c r="M116" s="155">
        <f t="shared" si="54"/>
        <v>0</v>
      </c>
      <c r="N116" s="78"/>
      <c r="O116" s="65"/>
      <c r="P116" s="17"/>
      <c r="Q116" s="179"/>
      <c r="R116" s="179"/>
      <c r="S116" s="8">
        <f t="shared" si="51"/>
        <v>0</v>
      </c>
      <c r="T116" s="139">
        <f t="shared" si="52"/>
        <v>0</v>
      </c>
      <c r="U116" s="181"/>
    </row>
    <row r="117" spans="1:21" ht="13.5" hidden="1" thickBot="1">
      <c r="A117" s="85"/>
      <c r="B117" s="86"/>
      <c r="C117" s="87"/>
      <c r="D117" s="88"/>
      <c r="E117" s="228"/>
      <c r="F117" s="228"/>
      <c r="G117" s="89">
        <f t="shared" si="50"/>
        <v>0</v>
      </c>
      <c r="H117" s="229">
        <f t="shared" si="49"/>
        <v>0</v>
      </c>
      <c r="I117" s="84"/>
      <c r="J117" s="225"/>
      <c r="K117" s="70">
        <f t="shared" si="53"/>
        <v>0</v>
      </c>
      <c r="L117" s="225">
        <v>0</v>
      </c>
      <c r="M117" s="70">
        <f t="shared" si="54"/>
        <v>0</v>
      </c>
      <c r="N117" s="90"/>
      <c r="O117" s="91"/>
      <c r="P117" s="92"/>
      <c r="Q117" s="230"/>
      <c r="R117" s="230"/>
      <c r="S117" s="89">
        <f t="shared" si="51"/>
        <v>0</v>
      </c>
      <c r="T117" s="229">
        <f t="shared" si="52"/>
        <v>0</v>
      </c>
      <c r="U117" s="231"/>
    </row>
    <row r="118" spans="1:21" ht="13.5" thickTop="1">
      <c r="A118" s="31" t="s">
        <v>73</v>
      </c>
      <c r="B118" s="93" t="s">
        <v>82</v>
      </c>
      <c r="C118" s="94" t="s">
        <v>4</v>
      </c>
      <c r="D118" s="32"/>
      <c r="E118" s="57">
        <f>1/1*3800</f>
        <v>3800</v>
      </c>
      <c r="F118" s="57"/>
      <c r="G118" s="95">
        <f t="shared" si="50"/>
        <v>3800</v>
      </c>
      <c r="H118" s="232">
        <f t="shared" si="49"/>
        <v>3800</v>
      </c>
      <c r="I118" s="83">
        <f>2/2*0+5/5*1000000+6/6*700000+7/7*200000+9/9*800000+10/10*500000+(11/11*300000+12/12*300000)</f>
        <v>3800000</v>
      </c>
      <c r="J118" s="221"/>
      <c r="K118" s="222">
        <f t="shared" si="53"/>
        <v>3800000</v>
      </c>
      <c r="L118" s="221">
        <v>412500</v>
      </c>
      <c r="M118" s="222">
        <f t="shared" si="54"/>
        <v>4212500</v>
      </c>
      <c r="N118" s="96" t="s">
        <v>74</v>
      </c>
      <c r="O118" s="76"/>
      <c r="P118" s="32"/>
      <c r="Q118" s="57">
        <f>1/1*3800</f>
        <v>3800</v>
      </c>
      <c r="R118" s="57"/>
      <c r="S118" s="95">
        <f t="shared" si="51"/>
        <v>3800</v>
      </c>
      <c r="T118" s="232">
        <f t="shared" si="52"/>
        <v>3800</v>
      </c>
      <c r="U118" s="233">
        <f>2/2*3800000</f>
        <v>3800000</v>
      </c>
    </row>
    <row r="119" spans="1:21" ht="12.75">
      <c r="A119" s="30" t="s">
        <v>73</v>
      </c>
      <c r="B119" s="4" t="s">
        <v>84</v>
      </c>
      <c r="C119" s="11" t="s">
        <v>11</v>
      </c>
      <c r="D119" s="12"/>
      <c r="E119" s="7">
        <f>3/3*70</f>
        <v>70</v>
      </c>
      <c r="F119" s="7"/>
      <c r="G119" s="8">
        <f t="shared" si="50"/>
        <v>70</v>
      </c>
      <c r="H119" s="139">
        <f t="shared" si="49"/>
        <v>70</v>
      </c>
      <c r="I119" s="51">
        <f>2/2*0+3/3*5000+4/4*2999+5/5*2100+6/6*6700+11/11*(1400+6171/6171*4000)+12/12*47800</f>
        <v>69999</v>
      </c>
      <c r="J119" s="227"/>
      <c r="K119" s="155">
        <f t="shared" si="53"/>
        <v>69999</v>
      </c>
      <c r="L119" s="227">
        <v>56350</v>
      </c>
      <c r="M119" s="155">
        <f t="shared" si="54"/>
        <v>126349</v>
      </c>
      <c r="N119" s="78" t="s">
        <v>74</v>
      </c>
      <c r="O119" s="141" t="s">
        <v>60</v>
      </c>
      <c r="P119" s="12"/>
      <c r="Q119" s="7">
        <f>3/3*70</f>
        <v>70</v>
      </c>
      <c r="R119" s="7"/>
      <c r="S119" s="8">
        <f t="shared" si="51"/>
        <v>70</v>
      </c>
      <c r="T119" s="139">
        <f t="shared" si="52"/>
        <v>70</v>
      </c>
      <c r="U119" s="181">
        <f>3/3*70000</f>
        <v>70000</v>
      </c>
    </row>
    <row r="120" spans="1:21" ht="12.75">
      <c r="A120" s="30" t="s">
        <v>75</v>
      </c>
      <c r="B120" s="10" t="s">
        <v>12</v>
      </c>
      <c r="C120" s="59" t="s">
        <v>13</v>
      </c>
      <c r="D120" s="12"/>
      <c r="E120" s="7">
        <f>1/1*5000+10/10*1000</f>
        <v>6000</v>
      </c>
      <c r="F120" s="7"/>
      <c r="G120" s="8">
        <f t="shared" si="50"/>
        <v>6000</v>
      </c>
      <c r="H120" s="139">
        <f t="shared" si="49"/>
        <v>6000</v>
      </c>
      <c r="I120" s="187">
        <f>2/2*4176498*0+3/3*6417748*0+4/4*8479541*0+5/5*(10557081+6/6*1949908+7/7*2283932+8/8*1890042+9/9*1944933+10/10*1724936+11/11*1721575+12/12*1933314)-I121</f>
        <v>5381721</v>
      </c>
      <c r="J120" s="227"/>
      <c r="K120" s="155">
        <f t="shared" si="53"/>
        <v>5381721</v>
      </c>
      <c r="L120" s="227">
        <f>2*250000</f>
        <v>500000</v>
      </c>
      <c r="M120" s="155">
        <f t="shared" si="54"/>
        <v>5881721</v>
      </c>
      <c r="N120" s="78"/>
      <c r="O120" s="141" t="s">
        <v>38</v>
      </c>
      <c r="P120" s="12"/>
      <c r="Q120" s="7">
        <f>1/1*5000+10/10*1000</f>
        <v>6000</v>
      </c>
      <c r="R120" s="7"/>
      <c r="S120" s="8">
        <f t="shared" si="51"/>
        <v>6000</v>
      </c>
      <c r="T120" s="139">
        <f t="shared" si="52"/>
        <v>6000</v>
      </c>
      <c r="U120" s="234">
        <f>1.2/1.2*2500000+5/5*500000+6/6*500000+7/7*500000+8/8*500000+9/9*500000+10/10*500000+11/11*500000</f>
        <v>6000000</v>
      </c>
    </row>
    <row r="121" spans="1:21" ht="12.75">
      <c r="A121" s="30" t="s">
        <v>76</v>
      </c>
      <c r="B121" s="10">
        <v>4195</v>
      </c>
      <c r="C121" s="59" t="s">
        <v>1</v>
      </c>
      <c r="D121" s="12"/>
      <c r="E121" s="7">
        <f>1/1*14190+10/10*2158+11/11*1553+12/12*1204</f>
        <v>19105</v>
      </c>
      <c r="F121" s="7"/>
      <c r="G121" s="8">
        <f t="shared" si="50"/>
        <v>19105</v>
      </c>
      <c r="H121" s="139">
        <f t="shared" si="49"/>
        <v>19105</v>
      </c>
      <c r="I121" s="187">
        <f>2/2*2952000*0+3/3*4569000*0+4/4*6169000*0+5/5*7623000*0+6/6*9167000*0+7/7*10899000+8/8*1449000+9/9*1553000+10/10*1604000+11/11*1565000+12/12*1554000</f>
        <v>18624000</v>
      </c>
      <c r="J121" s="227"/>
      <c r="K121" s="155">
        <f t="shared" si="53"/>
        <v>18624000</v>
      </c>
      <c r="L121" s="227">
        <f>K121/10*2-2380800+2*1300000</f>
        <v>3944000</v>
      </c>
      <c r="M121" s="155">
        <f t="shared" si="54"/>
        <v>22568000</v>
      </c>
      <c r="N121" s="78"/>
      <c r="O121" s="141" t="s">
        <v>39</v>
      </c>
      <c r="P121" s="12"/>
      <c r="Q121" s="7">
        <f>1/1*14190+10/10*2158+11/11*1553+12/12*1204</f>
        <v>19105</v>
      </c>
      <c r="R121" s="7"/>
      <c r="S121" s="8">
        <f t="shared" si="51"/>
        <v>19105</v>
      </c>
      <c r="T121" s="139">
        <f t="shared" si="52"/>
        <v>19105</v>
      </c>
      <c r="U121" s="234">
        <f>1.2/1.2*3500000+3/3*1241000+4/4*2211000+5/5*2017000+6/6*1200000+7/7*1200000+8/8*798000+9/9*2023000+10/10*2158000+11/11*1553000+12/12*1204000</f>
        <v>19105000</v>
      </c>
    </row>
    <row r="122" spans="1:21" ht="12.75">
      <c r="A122" s="30" t="s">
        <v>73</v>
      </c>
      <c r="B122" s="6" t="s">
        <v>83</v>
      </c>
      <c r="C122" s="59" t="s">
        <v>162</v>
      </c>
      <c r="D122" s="12"/>
      <c r="E122" s="7">
        <f>3/3*(50+50+30)</f>
        <v>130</v>
      </c>
      <c r="F122" s="7"/>
      <c r="G122" s="8">
        <f t="shared" si="50"/>
        <v>130</v>
      </c>
      <c r="H122" s="139">
        <f t="shared" si="49"/>
        <v>130</v>
      </c>
      <c r="I122" s="51">
        <f>6/6*130000</f>
        <v>130000</v>
      </c>
      <c r="J122" s="227"/>
      <c r="K122" s="155">
        <f t="shared" si="53"/>
        <v>130000</v>
      </c>
      <c r="L122" s="227"/>
      <c r="M122" s="155">
        <f t="shared" si="54"/>
        <v>130000</v>
      </c>
      <c r="N122" s="78" t="s">
        <v>74</v>
      </c>
      <c r="O122" s="50"/>
      <c r="P122" s="12"/>
      <c r="Q122" s="7">
        <f>3/3*(50+50+30)</f>
        <v>130</v>
      </c>
      <c r="R122" s="7"/>
      <c r="S122" s="8">
        <f t="shared" si="51"/>
        <v>130</v>
      </c>
      <c r="T122" s="139">
        <f t="shared" si="52"/>
        <v>130</v>
      </c>
      <c r="U122" s="181">
        <f>3/3*130000</f>
        <v>130000</v>
      </c>
    </row>
    <row r="123" spans="1:22" ht="12.75">
      <c r="A123" s="30" t="s">
        <v>80</v>
      </c>
      <c r="B123" s="6">
        <v>6171</v>
      </c>
      <c r="C123" s="59" t="s">
        <v>79</v>
      </c>
      <c r="D123" s="12"/>
      <c r="E123" s="7">
        <f>2/2*348.3+5/5*348.3+7/7*391.4+11/11*391.4</f>
        <v>1479.4</v>
      </c>
      <c r="F123" s="7"/>
      <c r="G123" s="8">
        <f t="shared" si="50"/>
        <v>1479.4</v>
      </c>
      <c r="H123" s="139">
        <f t="shared" si="49"/>
        <v>1479.4</v>
      </c>
      <c r="I123" s="187">
        <f>((1/1*87104+2/2*(96162*0+81162)+3/3*135357+4/4*93533+5/5*98166+6/6*(134198-1600)+7/7*100808+8/8*100241+9/9*103207+10/10*98291+11/11*94334+12/12*107998+107/107*15000*0)*(1+0.25+0.09)-0.36*0-0.44*0)+(0.18+5/5*-0.22*0)*0+6/6*(15000*(0.25+0.09)+3.34*0+6/6*(-22*0+169.2)*0+7/7*(-21+170.48*0)*0+8/8*(-26.25*0+175.79)*0+9/9*(-28+179.16*0)*0+10/10*(-29.75*0+182.97)*0+11/11*(-33.25+186.91*0)*0+12/12*(-38.75+193.09+(3556.91-2168.16)*0))+12/12*(376309.98+732/732*48788.5)</f>
        <v>2082303.4800000002</v>
      </c>
      <c r="J123" s="227"/>
      <c r="K123" s="155">
        <f t="shared" si="53"/>
        <v>2082303.4800000002</v>
      </c>
      <c r="L123" s="227">
        <v>339963</v>
      </c>
      <c r="M123" s="155">
        <f t="shared" si="54"/>
        <v>2422266.4800000004</v>
      </c>
      <c r="N123" s="64" t="s">
        <v>77</v>
      </c>
      <c r="O123" s="50"/>
      <c r="P123" s="12"/>
      <c r="Q123" s="7">
        <f>2/2*348.3+5/5*348.3+7/7*391.4+11/11*391.4</f>
        <v>1479.4</v>
      </c>
      <c r="R123" s="7"/>
      <c r="S123" s="8">
        <f t="shared" si="51"/>
        <v>1479.4</v>
      </c>
      <c r="T123" s="139">
        <f t="shared" si="52"/>
        <v>1479.4</v>
      </c>
      <c r="U123" s="181">
        <f>3/3*348308+5/5*348308+7/7*391401+10/10*391400</f>
        <v>1479417</v>
      </c>
      <c r="V123" s="1"/>
    </row>
    <row r="124" spans="1:21" ht="12.75">
      <c r="A124" s="235"/>
      <c r="B124" s="6">
        <f>495322+127563+45950</f>
        <v>668835</v>
      </c>
      <c r="C124" s="59"/>
      <c r="D124" s="12"/>
      <c r="E124" s="7"/>
      <c r="F124" s="7"/>
      <c r="G124" s="8"/>
      <c r="H124" s="139"/>
      <c r="I124" s="51"/>
      <c r="J124" s="227"/>
      <c r="K124" s="155"/>
      <c r="L124" s="227"/>
      <c r="M124" s="155"/>
      <c r="N124" s="64"/>
      <c r="O124" s="50"/>
      <c r="P124" s="12"/>
      <c r="Q124" s="7"/>
      <c r="R124" s="7"/>
      <c r="S124" s="8"/>
      <c r="T124" s="139"/>
      <c r="U124" s="181"/>
    </row>
    <row r="125" spans="1:21" ht="12.75">
      <c r="A125" s="30" t="s">
        <v>81</v>
      </c>
      <c r="B125" s="6">
        <v>6171</v>
      </c>
      <c r="C125" s="59" t="s">
        <v>78</v>
      </c>
      <c r="D125" s="12"/>
      <c r="E125" s="7">
        <f>3/3*226.8</f>
        <v>226.8</v>
      </c>
      <c r="F125" s="7"/>
      <c r="G125" s="8">
        <f t="shared" si="50"/>
        <v>226.8</v>
      </c>
      <c r="H125" s="139">
        <f t="shared" si="49"/>
        <v>226.8</v>
      </c>
      <c r="I125" s="187">
        <f>((1/1*44526+2/2*(53290*0+44290)+3/3*62849+4/4*47041+5/5*46713+107/107*9000*0)*(1+0.25+0.09)+1.16*0-0.44*0)-0.1+5/5*0.06+6/6*(9000*(0.25+0.09)+3.58+7/7*-6)-16/16*105125</f>
        <v>226794.00000000006</v>
      </c>
      <c r="J125" s="227"/>
      <c r="K125" s="155">
        <f t="shared" si="53"/>
        <v>226794.00000000006</v>
      </c>
      <c r="L125" s="227"/>
      <c r="M125" s="155">
        <f t="shared" si="54"/>
        <v>226794.00000000006</v>
      </c>
      <c r="N125" s="64" t="s">
        <v>77</v>
      </c>
      <c r="O125" s="65"/>
      <c r="P125" s="12"/>
      <c r="Q125" s="7">
        <f>3/3*226.8</f>
        <v>226.8</v>
      </c>
      <c r="R125" s="7"/>
      <c r="S125" s="8">
        <f t="shared" si="51"/>
        <v>226.8</v>
      </c>
      <c r="T125" s="139">
        <f t="shared" si="52"/>
        <v>226.8</v>
      </c>
      <c r="U125" s="181">
        <f>3/3*226794</f>
        <v>226794</v>
      </c>
    </row>
    <row r="126" spans="1:21" ht="12.75">
      <c r="A126" s="235"/>
      <c r="B126" s="6"/>
      <c r="C126" s="59"/>
      <c r="D126" s="12"/>
      <c r="E126" s="7"/>
      <c r="F126" s="7"/>
      <c r="G126" s="8"/>
      <c r="H126" s="139"/>
      <c r="I126" s="51"/>
      <c r="J126" s="227"/>
      <c r="K126" s="155"/>
      <c r="L126" s="227"/>
      <c r="M126" s="155"/>
      <c r="N126" s="64"/>
      <c r="O126" s="65"/>
      <c r="P126" s="12"/>
      <c r="Q126" s="7"/>
      <c r="R126" s="7"/>
      <c r="S126" s="8"/>
      <c r="T126" s="139"/>
      <c r="U126" s="181"/>
    </row>
    <row r="127" spans="1:21" ht="12.75">
      <c r="A127" s="30" t="s">
        <v>73</v>
      </c>
      <c r="B127" s="6" t="s">
        <v>176</v>
      </c>
      <c r="C127" s="59" t="s">
        <v>128</v>
      </c>
      <c r="D127" s="12"/>
      <c r="E127" s="7">
        <f>1/1*338.1</f>
        <v>338.1</v>
      </c>
      <c r="F127" s="7"/>
      <c r="G127" s="8">
        <f t="shared" si="50"/>
        <v>338.1</v>
      </c>
      <c r="H127" s="139">
        <f t="shared" si="49"/>
        <v>338.1</v>
      </c>
      <c r="I127" s="51">
        <f>5/5*(100000+50100)+10/10*4351/4351*188000</f>
        <v>338100</v>
      </c>
      <c r="J127" s="227"/>
      <c r="K127" s="155">
        <f>I127+J127</f>
        <v>338100</v>
      </c>
      <c r="L127" s="227">
        <v>842040</v>
      </c>
      <c r="M127" s="155">
        <f t="shared" si="54"/>
        <v>1180140</v>
      </c>
      <c r="N127" s="78" t="s">
        <v>74</v>
      </c>
      <c r="O127" s="65"/>
      <c r="P127" s="12"/>
      <c r="Q127" s="7">
        <f>1/1*338.1</f>
        <v>338.1</v>
      </c>
      <c r="R127" s="7"/>
      <c r="S127" s="8">
        <f t="shared" si="51"/>
        <v>338.1</v>
      </c>
      <c r="T127" s="139">
        <f t="shared" si="52"/>
        <v>338.1</v>
      </c>
      <c r="U127" s="181">
        <f>2/2*338100</f>
        <v>338100</v>
      </c>
    </row>
    <row r="128" spans="1:21" ht="12.75">
      <c r="A128" s="30" t="s">
        <v>73</v>
      </c>
      <c r="B128" s="6" t="s">
        <v>85</v>
      </c>
      <c r="C128" s="59" t="s">
        <v>86</v>
      </c>
      <c r="D128" s="12"/>
      <c r="E128" s="7">
        <f>3/3*44.3</f>
        <v>44.3</v>
      </c>
      <c r="F128" s="7"/>
      <c r="G128" s="8">
        <f aca="true" t="shared" si="55" ref="G128:G139">D128+E128</f>
        <v>44.3</v>
      </c>
      <c r="H128" s="139">
        <f t="shared" si="49"/>
        <v>44.3</v>
      </c>
      <c r="I128" s="51">
        <f>5/5*44300</f>
        <v>44300</v>
      </c>
      <c r="J128" s="134"/>
      <c r="K128" s="236">
        <f>I128+J128</f>
        <v>44300</v>
      </c>
      <c r="L128" s="134"/>
      <c r="M128" s="236">
        <f>K128+L128</f>
        <v>44300</v>
      </c>
      <c r="N128" s="77" t="s">
        <v>74</v>
      </c>
      <c r="O128" s="65"/>
      <c r="P128" s="12"/>
      <c r="Q128" s="7">
        <f>3/3*44.3</f>
        <v>44.3</v>
      </c>
      <c r="R128" s="7"/>
      <c r="S128" s="8">
        <f>P128+Q128</f>
        <v>44.3</v>
      </c>
      <c r="T128" s="139">
        <f>S128+R128</f>
        <v>44.3</v>
      </c>
      <c r="U128" s="181">
        <f>3/3*44300</f>
        <v>44300</v>
      </c>
    </row>
    <row r="129" spans="1:21" ht="12.75">
      <c r="A129" s="30" t="s">
        <v>193</v>
      </c>
      <c r="B129" s="237" t="s">
        <v>194</v>
      </c>
      <c r="C129" s="51" t="s">
        <v>191</v>
      </c>
      <c r="D129" s="12"/>
      <c r="E129" s="7">
        <f>533+133+48+10+20</f>
        <v>744</v>
      </c>
      <c r="F129" s="7"/>
      <c r="G129" s="8">
        <f>D129+E129</f>
        <v>744</v>
      </c>
      <c r="H129" s="139">
        <f>G129+F129</f>
        <v>744</v>
      </c>
      <c r="I129" s="187">
        <f>533000+133000+48000+10000+20000</f>
        <v>744000</v>
      </c>
      <c r="J129" s="227"/>
      <c r="K129" s="192"/>
      <c r="L129" s="227"/>
      <c r="M129" s="192"/>
      <c r="N129" s="238" t="s">
        <v>191</v>
      </c>
      <c r="O129" s="65"/>
      <c r="P129" s="122"/>
      <c r="Q129" s="239">
        <f>10/10*744</f>
        <v>744</v>
      </c>
      <c r="R129" s="239"/>
      <c r="S129" s="8">
        <f aca="true" t="shared" si="56" ref="S129:S137">P129+Q129</f>
        <v>744</v>
      </c>
      <c r="T129" s="139">
        <f aca="true" t="shared" si="57" ref="T129:T137">S129+R129</f>
        <v>744</v>
      </c>
      <c r="U129" s="181">
        <f>3/3*744000*35%+7/7*744000*35%+12/12*744000*30%</f>
        <v>744000</v>
      </c>
    </row>
    <row r="130" spans="1:21" ht="12.75">
      <c r="A130" s="30" t="s">
        <v>171</v>
      </c>
      <c r="B130" s="58" t="s">
        <v>172</v>
      </c>
      <c r="C130" s="59" t="s">
        <v>173</v>
      </c>
      <c r="D130" s="12"/>
      <c r="E130" s="7">
        <f>6/6*220</f>
        <v>220</v>
      </c>
      <c r="F130" s="7"/>
      <c r="G130" s="8">
        <f>D130+E130</f>
        <v>220</v>
      </c>
      <c r="H130" s="139">
        <f>G130+F130</f>
        <v>220</v>
      </c>
      <c r="I130" s="187">
        <f>5/5*19388.2+6/6*(28258+4250)+7/7*163061+8/8*2732.6+12/12*3240-929.8</f>
        <v>220000.00000000003</v>
      </c>
      <c r="J130" s="227"/>
      <c r="K130" s="192"/>
      <c r="L130" s="227"/>
      <c r="M130" s="192"/>
      <c r="N130" s="64" t="s">
        <v>77</v>
      </c>
      <c r="O130" s="65"/>
      <c r="P130" s="122"/>
      <c r="Q130" s="7">
        <f>6/6*220</f>
        <v>220</v>
      </c>
      <c r="R130" s="239"/>
      <c r="S130" s="8">
        <f>P130+Q130</f>
        <v>220</v>
      </c>
      <c r="T130" s="139">
        <f>S130+R130</f>
        <v>220</v>
      </c>
      <c r="U130" s="181">
        <f>6/6*220000</f>
        <v>220000</v>
      </c>
    </row>
    <row r="131" spans="1:21" ht="12.75">
      <c r="A131" s="132" t="s">
        <v>81</v>
      </c>
      <c r="B131" s="6" t="s">
        <v>88</v>
      </c>
      <c r="C131" s="59" t="s">
        <v>207</v>
      </c>
      <c r="D131" s="153"/>
      <c r="E131" s="240">
        <f>3/3*(1380.8-226.8)-E132+4/4*-1173-E133</f>
        <v>754</v>
      </c>
      <c r="F131" s="241"/>
      <c r="G131" s="8">
        <f t="shared" si="55"/>
        <v>754</v>
      </c>
      <c r="H131" s="139">
        <f aca="true" t="shared" si="58" ref="H131:H141">G131+F131</f>
        <v>754</v>
      </c>
      <c r="I131" s="187">
        <f>3/3*0+12/12*563000*(1+0.25+0.09)-(750-330)</f>
        <v>754000</v>
      </c>
      <c r="J131" s="227"/>
      <c r="K131" s="192"/>
      <c r="L131" s="227"/>
      <c r="M131" s="192"/>
      <c r="N131" s="64" t="s">
        <v>77</v>
      </c>
      <c r="O131" s="65"/>
      <c r="P131" s="122"/>
      <c r="Q131" s="240">
        <f>3/3*(1380.8-226.8)</f>
        <v>1154</v>
      </c>
      <c r="R131" s="241"/>
      <c r="S131" s="8">
        <f t="shared" si="56"/>
        <v>1154</v>
      </c>
      <c r="T131" s="139">
        <f t="shared" si="57"/>
        <v>1154</v>
      </c>
      <c r="U131" s="181">
        <f>3/3*1380794-U125</f>
        <v>1154000</v>
      </c>
    </row>
    <row r="132" spans="1:21" ht="12.75">
      <c r="A132" s="235"/>
      <c r="B132" s="6" t="s">
        <v>88</v>
      </c>
      <c r="C132" s="59" t="s">
        <v>167</v>
      </c>
      <c r="D132" s="153"/>
      <c r="E132" s="240">
        <f>3/3*(1380.8-226.8)-754</f>
        <v>400</v>
      </c>
      <c r="F132" s="241"/>
      <c r="G132" s="8">
        <f>D132+E132</f>
        <v>400</v>
      </c>
      <c r="H132" s="139">
        <f>G132+F132</f>
        <v>400</v>
      </c>
      <c r="I132" s="187">
        <f>3/3*0+12/12*21/21*321000+23/23*79000</f>
        <v>400000</v>
      </c>
      <c r="J132" s="227"/>
      <c r="K132" s="192"/>
      <c r="L132" s="227"/>
      <c r="M132" s="192"/>
      <c r="N132" s="64"/>
      <c r="O132" s="65"/>
      <c r="P132" s="122"/>
      <c r="Q132" s="240"/>
      <c r="R132" s="241"/>
      <c r="S132" s="8"/>
      <c r="T132" s="139"/>
      <c r="U132" s="181"/>
    </row>
    <row r="133" spans="1:21" ht="12.75">
      <c r="A133" s="132"/>
      <c r="B133" s="6" t="s">
        <v>88</v>
      </c>
      <c r="C133" s="59" t="s">
        <v>206</v>
      </c>
      <c r="D133" s="153"/>
      <c r="E133" s="240">
        <f>3/3*(1380.8-226.8)*0+4/4*-1173</f>
        <v>-1173</v>
      </c>
      <c r="F133" s="241"/>
      <c r="G133" s="8">
        <f>D133+E133</f>
        <v>-1173</v>
      </c>
      <c r="H133" s="139">
        <f>G133+F133</f>
        <v>-1173</v>
      </c>
      <c r="I133" s="51">
        <f>3/3*0</f>
        <v>0</v>
      </c>
      <c r="J133" s="227"/>
      <c r="K133" s="192"/>
      <c r="L133" s="227"/>
      <c r="M133" s="192"/>
      <c r="N133" s="64"/>
      <c r="O133" s="65"/>
      <c r="P133" s="122"/>
      <c r="Q133" s="240"/>
      <c r="R133" s="241"/>
      <c r="S133" s="8"/>
      <c r="T133" s="139"/>
      <c r="U133" s="181"/>
    </row>
    <row r="134" spans="1:21" ht="12.75">
      <c r="A134" s="30" t="s">
        <v>73</v>
      </c>
      <c r="B134" s="6" t="s">
        <v>88</v>
      </c>
      <c r="C134" s="59" t="s">
        <v>89</v>
      </c>
      <c r="D134" s="12"/>
      <c r="E134" s="7">
        <f>2/2*300*4/4</f>
        <v>300</v>
      </c>
      <c r="F134" s="7"/>
      <c r="G134" s="8">
        <f t="shared" si="55"/>
        <v>300</v>
      </c>
      <c r="H134" s="139">
        <f t="shared" si="58"/>
        <v>300</v>
      </c>
      <c r="I134" s="51">
        <f>5/5*19200*0+10/10*39940+12/12*8420</f>
        <v>48360</v>
      </c>
      <c r="J134" s="227"/>
      <c r="K134" s="155">
        <f>I134+J134</f>
        <v>48360</v>
      </c>
      <c r="L134" s="227"/>
      <c r="M134" s="155">
        <f>K134+L134</f>
        <v>48360</v>
      </c>
      <c r="N134" s="77" t="s">
        <v>74</v>
      </c>
      <c r="O134" s="65"/>
      <c r="P134" s="12"/>
      <c r="Q134" s="7">
        <f>2/2*300*4/4</f>
        <v>300</v>
      </c>
      <c r="R134" s="7"/>
      <c r="S134" s="8">
        <f t="shared" si="56"/>
        <v>300</v>
      </c>
      <c r="T134" s="139">
        <f t="shared" si="57"/>
        <v>300</v>
      </c>
      <c r="U134" s="181">
        <f>4/4*300000</f>
        <v>300000</v>
      </c>
    </row>
    <row r="135" spans="1:21" ht="12.75" hidden="1">
      <c r="A135" s="30" t="s">
        <v>118</v>
      </c>
      <c r="B135" s="58" t="s">
        <v>119</v>
      </c>
      <c r="C135" s="59" t="s">
        <v>146</v>
      </c>
      <c r="D135" s="12"/>
      <c r="E135" s="7"/>
      <c r="F135" s="7"/>
      <c r="G135" s="8">
        <f t="shared" si="55"/>
        <v>0</v>
      </c>
      <c r="H135" s="139">
        <f t="shared" si="58"/>
        <v>0</v>
      </c>
      <c r="I135" s="51"/>
      <c r="J135" s="227"/>
      <c r="K135" s="155">
        <f>I135+J135</f>
        <v>0</v>
      </c>
      <c r="L135" s="227"/>
      <c r="M135" s="155">
        <f t="shared" si="54"/>
        <v>0</v>
      </c>
      <c r="N135" s="78"/>
      <c r="O135" s="65"/>
      <c r="P135" s="12"/>
      <c r="Q135" s="7"/>
      <c r="R135" s="7"/>
      <c r="S135" s="8">
        <f t="shared" si="56"/>
        <v>0</v>
      </c>
      <c r="T135" s="139">
        <f t="shared" si="57"/>
        <v>0</v>
      </c>
      <c r="U135" s="181"/>
    </row>
    <row r="136" spans="1:21" ht="12.75" hidden="1">
      <c r="A136" s="235"/>
      <c r="B136" s="242">
        <f>C136/(H120*1000)</f>
        <v>0.5566648333333334</v>
      </c>
      <c r="C136" s="51">
        <f>397701+35343+25340+6038+632818+3600+95000+2092345+51804</f>
        <v>3339989</v>
      </c>
      <c r="D136" s="12"/>
      <c r="E136" s="7"/>
      <c r="F136" s="7"/>
      <c r="G136" s="8">
        <f t="shared" si="55"/>
        <v>0</v>
      </c>
      <c r="H136" s="139">
        <f t="shared" si="58"/>
        <v>0</v>
      </c>
      <c r="I136" s="51"/>
      <c r="J136" s="227"/>
      <c r="K136" s="155"/>
      <c r="L136" s="227"/>
      <c r="M136" s="155"/>
      <c r="N136" s="78"/>
      <c r="O136" s="65"/>
      <c r="P136" s="12"/>
      <c r="Q136" s="7"/>
      <c r="R136" s="7"/>
      <c r="S136" s="8">
        <f t="shared" si="56"/>
        <v>0</v>
      </c>
      <c r="T136" s="139">
        <f t="shared" si="57"/>
        <v>0</v>
      </c>
      <c r="U136" s="181"/>
    </row>
    <row r="137" spans="1:21" ht="12.75">
      <c r="A137" s="30"/>
      <c r="B137" s="58" t="s">
        <v>204</v>
      </c>
      <c r="C137" s="59" t="s">
        <v>205</v>
      </c>
      <c r="D137" s="12"/>
      <c r="E137" s="7">
        <f>12/12*15.3</f>
        <v>15.3</v>
      </c>
      <c r="F137" s="7"/>
      <c r="G137" s="8">
        <f t="shared" si="55"/>
        <v>15.3</v>
      </c>
      <c r="H137" s="139">
        <f t="shared" si="58"/>
        <v>15.3</v>
      </c>
      <c r="I137" s="187">
        <f>11/11*15286</f>
        <v>15286</v>
      </c>
      <c r="J137" s="227"/>
      <c r="K137" s="155"/>
      <c r="L137" s="227"/>
      <c r="M137" s="155"/>
      <c r="N137" s="78"/>
      <c r="O137" s="65"/>
      <c r="P137" s="12"/>
      <c r="Q137" s="7">
        <f>12/12*15.3</f>
        <v>15.3</v>
      </c>
      <c r="R137" s="7"/>
      <c r="S137" s="8">
        <f t="shared" si="56"/>
        <v>15.3</v>
      </c>
      <c r="T137" s="139">
        <f t="shared" si="57"/>
        <v>15.3</v>
      </c>
      <c r="U137" s="181">
        <f>12/12*15286</f>
        <v>15286</v>
      </c>
    </row>
    <row r="138" spans="1:21" ht="12.75">
      <c r="A138" s="30" t="s">
        <v>73</v>
      </c>
      <c r="B138" s="6" t="s">
        <v>131</v>
      </c>
      <c r="C138" s="59" t="s">
        <v>132</v>
      </c>
      <c r="D138" s="12"/>
      <c r="E138" s="7">
        <f>19+58+25</f>
        <v>102</v>
      </c>
      <c r="F138" s="7"/>
      <c r="G138" s="8">
        <f t="shared" si="55"/>
        <v>102</v>
      </c>
      <c r="H138" s="243">
        <f t="shared" si="58"/>
        <v>102</v>
      </c>
      <c r="I138" s="51">
        <f>12/12*(19000+58000+25000)</f>
        <v>102000</v>
      </c>
      <c r="J138" s="227"/>
      <c r="K138" s="155">
        <f>I138+J138</f>
        <v>102000</v>
      </c>
      <c r="L138" s="227">
        <v>511000</v>
      </c>
      <c r="M138" s="155">
        <f>K138+L138</f>
        <v>613000</v>
      </c>
      <c r="N138" s="77" t="s">
        <v>74</v>
      </c>
      <c r="O138" s="65"/>
      <c r="P138" s="12"/>
      <c r="Q138" s="7">
        <f>10/10*102</f>
        <v>102</v>
      </c>
      <c r="R138" s="7"/>
      <c r="S138" s="8">
        <f>P138+Q138</f>
        <v>102</v>
      </c>
      <c r="T138" s="139">
        <f>S138+R138</f>
        <v>102</v>
      </c>
      <c r="U138" s="181">
        <f>10/10*102000</f>
        <v>102000</v>
      </c>
    </row>
    <row r="139" spans="1:21" ht="12.75">
      <c r="A139" s="30" t="s">
        <v>121</v>
      </c>
      <c r="B139" s="58" t="s">
        <v>123</v>
      </c>
      <c r="C139" s="59" t="s">
        <v>122</v>
      </c>
      <c r="D139" s="12"/>
      <c r="E139" s="7">
        <f>5/5*20000+12/12*1500</f>
        <v>21500</v>
      </c>
      <c r="F139" s="7"/>
      <c r="G139" s="8">
        <f t="shared" si="55"/>
        <v>21500</v>
      </c>
      <c r="H139" s="139">
        <f t="shared" si="58"/>
        <v>21500</v>
      </c>
      <c r="I139" s="187">
        <f>5/5*20000000+12/12*1500000</f>
        <v>21500000</v>
      </c>
      <c r="J139" s="227"/>
      <c r="K139" s="155"/>
      <c r="L139" s="227"/>
      <c r="M139" s="155"/>
      <c r="N139" s="78" t="s">
        <v>74</v>
      </c>
      <c r="O139" s="65"/>
      <c r="P139" s="12"/>
      <c r="Q139" s="7">
        <f>5/5*20000+12/12*1500</f>
        <v>21500</v>
      </c>
      <c r="R139" s="7"/>
      <c r="S139" s="8">
        <f>P139+Q139</f>
        <v>21500</v>
      </c>
      <c r="T139" s="139">
        <f>S139+R139</f>
        <v>21500</v>
      </c>
      <c r="U139" s="181">
        <f>6/6*20000000+12/12*1500000</f>
        <v>21500000</v>
      </c>
    </row>
    <row r="140" spans="1:21" ht="12.75">
      <c r="A140" s="85" t="s">
        <v>124</v>
      </c>
      <c r="B140" s="120" t="s">
        <v>137</v>
      </c>
      <c r="C140" s="105" t="s">
        <v>140</v>
      </c>
      <c r="D140" s="12"/>
      <c r="E140" s="7">
        <f>6/6*81+10/10*64+11/11*153.2</f>
        <v>298.2</v>
      </c>
      <c r="F140" s="7"/>
      <c r="G140" s="8">
        <f t="shared" si="50"/>
        <v>298.2</v>
      </c>
      <c r="H140" s="139">
        <f t="shared" si="58"/>
        <v>298.2</v>
      </c>
      <c r="I140" s="187">
        <f>9/9*81000+11/11*217200</f>
        <v>298200</v>
      </c>
      <c r="J140" s="244"/>
      <c r="K140" s="226"/>
      <c r="L140" s="244"/>
      <c r="M140" s="226"/>
      <c r="N140" s="78" t="s">
        <v>74</v>
      </c>
      <c r="O140" s="65"/>
      <c r="P140" s="12"/>
      <c r="Q140" s="7">
        <f>6/6*81+10/10*64+11/11*153.2</f>
        <v>298.2</v>
      </c>
      <c r="R140" s="7"/>
      <c r="S140" s="8">
        <f>P140+Q140</f>
        <v>298.2</v>
      </c>
      <c r="T140" s="139">
        <f>S140+R140</f>
        <v>298.2</v>
      </c>
      <c r="U140" s="181">
        <f>6/6*81000+10/10*64000+11/11*153200</f>
        <v>298200</v>
      </c>
    </row>
    <row r="141" spans="1:21" ht="13.5" thickBot="1">
      <c r="A141" s="245">
        <v>98858</v>
      </c>
      <c r="B141" s="246" t="s">
        <v>210</v>
      </c>
      <c r="C141" s="247" t="s">
        <v>211</v>
      </c>
      <c r="D141" s="48"/>
      <c r="E141" s="248">
        <f>12/12*4950</f>
        <v>4950</v>
      </c>
      <c r="F141" s="249"/>
      <c r="G141" s="8">
        <f t="shared" si="50"/>
        <v>4950</v>
      </c>
      <c r="H141" s="139">
        <f t="shared" si="58"/>
        <v>4950</v>
      </c>
      <c r="I141" s="250">
        <f>12/12*4950000</f>
        <v>4950000</v>
      </c>
      <c r="J141" s="251"/>
      <c r="K141" s="252"/>
      <c r="L141" s="251"/>
      <c r="M141" s="252"/>
      <c r="N141" s="111"/>
      <c r="O141" s="112"/>
      <c r="P141" s="113"/>
      <c r="Q141" s="248">
        <f>12/12*4950</f>
        <v>4950</v>
      </c>
      <c r="R141" s="253"/>
      <c r="S141" s="8">
        <f>P141+Q141</f>
        <v>4950</v>
      </c>
      <c r="T141" s="139">
        <f t="shared" si="52"/>
        <v>4950</v>
      </c>
      <c r="U141" s="254">
        <f>12/12*4950000</f>
        <v>4950000</v>
      </c>
    </row>
    <row r="142" spans="1:21" ht="14.25" thickBot="1" thickTop="1">
      <c r="A142" s="106" t="s">
        <v>66</v>
      </c>
      <c r="B142" s="28"/>
      <c r="C142" s="108"/>
      <c r="D142" s="109">
        <f aca="true" t="shared" si="59" ref="D142:M142">SUM(D111:D141)</f>
        <v>0</v>
      </c>
      <c r="E142" s="34">
        <f>SUM(E111:E141)</f>
        <v>59304.09999999999</v>
      </c>
      <c r="F142" s="34">
        <f t="shared" si="59"/>
        <v>0</v>
      </c>
      <c r="G142" s="34">
        <f t="shared" si="59"/>
        <v>59304.09999999999</v>
      </c>
      <c r="H142" s="34">
        <f t="shared" si="59"/>
        <v>59304.09999999999</v>
      </c>
      <c r="I142" s="136">
        <f t="shared" si="59"/>
        <v>59729063.480000004</v>
      </c>
      <c r="J142" s="81">
        <f t="shared" si="59"/>
        <v>0</v>
      </c>
      <c r="K142" s="255">
        <f t="shared" si="59"/>
        <v>30847577.48</v>
      </c>
      <c r="L142" s="81">
        <f t="shared" si="59"/>
        <v>7336361.05</v>
      </c>
      <c r="M142" s="255">
        <f t="shared" si="59"/>
        <v>38183938.53</v>
      </c>
      <c r="N142" s="40"/>
      <c r="O142" s="41" t="s">
        <v>68</v>
      </c>
      <c r="P142" s="34">
        <f aca="true" t="shared" si="60" ref="P142:U142">SUM(P111:P141)</f>
        <v>0</v>
      </c>
      <c r="Q142" s="34">
        <f t="shared" si="60"/>
        <v>60477.1</v>
      </c>
      <c r="R142" s="34">
        <f t="shared" si="60"/>
        <v>0</v>
      </c>
      <c r="S142" s="34">
        <f t="shared" si="60"/>
        <v>60477.1</v>
      </c>
      <c r="T142" s="34">
        <f t="shared" si="60"/>
        <v>60477.1</v>
      </c>
      <c r="U142" s="256">
        <f t="shared" si="60"/>
        <v>60477097</v>
      </c>
    </row>
    <row r="143" spans="1:21" ht="14.25" thickBot="1" thickTop="1">
      <c r="A143" s="107" t="s">
        <v>67</v>
      </c>
      <c r="B143" s="35"/>
      <c r="C143" s="110"/>
      <c r="D143" s="109">
        <f aca="true" t="shared" si="61" ref="D143:M143">D106+D142</f>
        <v>97585</v>
      </c>
      <c r="E143" s="34">
        <f t="shared" si="61"/>
        <v>61518.40000029999</v>
      </c>
      <c r="F143" s="34">
        <f t="shared" si="61"/>
        <v>17736</v>
      </c>
      <c r="G143" s="34">
        <f t="shared" si="61"/>
        <v>159103.40000029997</v>
      </c>
      <c r="H143" s="34">
        <f t="shared" si="61"/>
        <v>176839.40000029997</v>
      </c>
      <c r="I143" s="136">
        <f t="shared" si="61"/>
        <v>173101051.23000002</v>
      </c>
      <c r="J143" s="81">
        <f t="shared" si="61"/>
        <v>-2281046</v>
      </c>
      <c r="K143" s="255">
        <f t="shared" si="61"/>
        <v>81847391.29</v>
      </c>
      <c r="L143" s="81">
        <f t="shared" si="61"/>
        <v>17659792.05</v>
      </c>
      <c r="M143" s="255">
        <f t="shared" si="61"/>
        <v>99507183.34</v>
      </c>
      <c r="N143" s="40"/>
      <c r="O143" s="41" t="s">
        <v>69</v>
      </c>
      <c r="P143" s="34">
        <f aca="true" t="shared" si="62" ref="P143:U143">P106+P142</f>
        <v>97585.00003549212</v>
      </c>
      <c r="Q143" s="34">
        <f t="shared" si="62"/>
        <v>61477.40004</v>
      </c>
      <c r="R143" s="34">
        <f t="shared" si="62"/>
        <v>17736</v>
      </c>
      <c r="S143" s="34">
        <f t="shared" si="62"/>
        <v>159062.40007549213</v>
      </c>
      <c r="T143" s="34">
        <f t="shared" si="62"/>
        <v>176798.40007549213</v>
      </c>
      <c r="U143" s="256">
        <f t="shared" si="62"/>
        <v>183408655.79999998</v>
      </c>
    </row>
    <row r="144" spans="1:21" ht="13.5" thickTop="1">
      <c r="A144" s="73"/>
      <c r="B144" s="73"/>
      <c r="C144" s="73"/>
      <c r="D144" s="49">
        <f>97585-D143</f>
        <v>0</v>
      </c>
      <c r="E144" s="49">
        <f>3/3*(24220.7-300+1380.8)+4/4*(300+16-1173)+5/5*(348.3+20000)+6/6*(4/4*81+9/9*220)+7/7*(5/5*391.4+99/99*2198.3)+10/10*(64+744+1000+2158+102)+11/11*(153.2+1553+391.4)+12/12*(1204+15.3+1500+4950)+10/10*(0)-E143</f>
        <v>-2.9998773243278265E-07</v>
      </c>
      <c r="F144" s="49">
        <f>200-F143+6/6*(4/4*10+5/5*80+6/6*(13+21)+9/9*(4+250+31+61)+12/12*17066)</f>
        <v>0</v>
      </c>
      <c r="G144" s="49">
        <f>2008/2008*97585+3/3*(24220.7-300+1380.8)+4/4*((4/4)*16-1173+300)+5/5*(9/9*98216/98216*348.3+6/6*84/84*20000)+6/6*(91/91*81+98348/98348*220+7/7*(5/5*391.4+99/99*2198.3)+16/16*(4/4*10+5/5*80+6/6*(13+21)+9/9*(4+250+31+61)+10/10*(64+744+1000+2158+102)-470)+11/11*(1553+153.2+391.4)+12/12*(1204+15.3+1500+4950))+10/10*(0)-G143</f>
        <v>-2.999731805175543E-07</v>
      </c>
      <c r="H144" s="49">
        <f>2008/2008*97585+3/3*(24220.7-300+1380.8+16/16*200)+4/4*((4/4)*16-1173+300)+5/5*(9/9*98216/98216*348.3+6/6*84/84*20000)+6/6*(91/91*81+98348/98348*220+7/7*98216/98216*391.4+16/16*(6/6*(4/4*10+5/5*80+6/6*(13+21)+9/9*(4+250+31+61)+10/10*(4/4*64+5/5*(744+(1000+2158))+7/7*102)-470*0+11/11*(1553+153.2+391.4)+12/12*1204+15.3+1500+4950+16/16*17066))+7/7*99/99*2198.3)+10/10*(0)-H143</f>
        <v>-2.999731805175543E-07</v>
      </c>
      <c r="I144" s="73">
        <f>2/2*31613415.2*0+3/3*39801231.98*0+4/4*(119721770.19-59723198.23)*0+5/5*(134830408.39-66575628.48)*0+6/6*(173225108.43*0+173238134.41-85037590.48)*0+7/7*(209153963.69-102665191.61)*0+8/8*(230012248.58-113500080.36)*0+9/9*(248631322.16-121471594.36)*0+10/10*(280319468.7-137255650.85)*0+11/11*(295749417.27-143005421.1)*0+12/12*(329826406.88-156725355.65)-I143</f>
        <v>0</v>
      </c>
      <c r="N144" s="60"/>
      <c r="O144" s="60"/>
      <c r="P144" s="49">
        <f>97585-P143</f>
        <v>-3.549212124198675E-05</v>
      </c>
      <c r="Q144" s="49">
        <f>3/3*(24220.7-300+1380.8)+4/4*(300-1173+16)+5/5*(348.3+20000)+6/6*(81+220)+7/7*(391.4+2198.3*99/99)+10/10*(64+744+1000+2158+102)+11/11*(1553+153.2+391.4)+12/12*(1204+15.3+1500+4950)-Q143</f>
        <v>40.99996000000101</v>
      </c>
      <c r="R144" s="49">
        <f>3/3*200-R143+6/6*470+12/12*17066</f>
        <v>0</v>
      </c>
      <c r="S144" s="49">
        <f>2008/2008*97585+3/3*(24220.7-300+1380.8)+4/4*(300+16-1173)+5/5*(348.3+20000)+6/6*(220+81+16/16*470*0)+7/7*(391.4+2198.3*99/99)+10/10*(64+744+2158+1000+102)+11/11*(1553+391.4+153.2)+12/12*(15.3+1500+1204+4950)-S143</f>
        <v>40.99992450786522</v>
      </c>
      <c r="T144" s="49">
        <f>2008/2008*97585+3/3*(24220.7-300+1380.8+16/16*200)+4/4*(300+16-1173)+5/5*(348.3+20000)+6/6*(81+220+16/16*470)+7/7*(391.4+2198.3*99/99)+10/10*(64+744+2158+1000+102)+11/11*(1553+153.2+391.4)+12/12*(1204+1500+15.3+4950+17066)-T143</f>
        <v>40.99992450786522</v>
      </c>
      <c r="U144" s="73">
        <f>2/2*35697519.51*0+3/3*43589454.54*0+4/4*69192857.54*0+5/5*(143376967.27-66846485.48)*0+6/6*(189175308.27*0+189204156.25-85371116.48)*0+7/7*(221763719.19-103084806.61)*0+8/8*(245044221.69-113987513.36)*0+9/9*(259722050.28-122025174.36)*0+10/10*(292808431.21-137882843.85)*0+11/11*(307401390.11-143697509.1)*0+12/12*(340964579.45-157555923.65)-U143</f>
        <v>0</v>
      </c>
    </row>
    <row r="145" spans="1:21" ht="12.75">
      <c r="A145" s="60"/>
      <c r="B145" s="60"/>
      <c r="C145" s="60"/>
      <c r="D145" s="60"/>
      <c r="E145" s="60"/>
      <c r="F145" s="60"/>
      <c r="G145" s="60"/>
      <c r="H145" s="60"/>
      <c r="I145" s="219"/>
      <c r="N145" s="37"/>
      <c r="O145" s="36"/>
      <c r="P145" s="38"/>
      <c r="Q145" s="38"/>
      <c r="R145" s="38"/>
      <c r="S145" s="38"/>
      <c r="T145" s="49">
        <f>6/6*(248495.1-105153)*0+7/7*(249266.1*0+11/11*257216.2*0+12/12*281951.4-105153+2008/2008*(1825.4-1784.4))-T143</f>
        <v>40.99992450789432</v>
      </c>
      <c r="U145" s="37"/>
    </row>
    <row r="146" spans="1:21" ht="13.5" thickBot="1">
      <c r="A146" s="60"/>
      <c r="B146" s="60"/>
      <c r="C146" s="60"/>
      <c r="D146" s="60"/>
      <c r="E146" s="60"/>
      <c r="F146" s="60"/>
      <c r="G146" s="60"/>
      <c r="H146" s="60"/>
      <c r="I146" s="219"/>
      <c r="N146" s="37"/>
      <c r="O146" s="36"/>
      <c r="P146" s="38"/>
      <c r="Q146" s="38"/>
      <c r="R146" s="38"/>
      <c r="S146" s="38"/>
      <c r="T146" s="49"/>
      <c r="U146" s="37"/>
    </row>
    <row r="147" spans="1:22" ht="14.25" thickBot="1" thickTop="1">
      <c r="A147" s="60"/>
      <c r="B147" s="60"/>
      <c r="C147" s="60"/>
      <c r="D147" s="60"/>
      <c r="E147" s="60"/>
      <c r="F147" s="60"/>
      <c r="G147" s="60"/>
      <c r="H147" s="60"/>
      <c r="I147" s="219"/>
      <c r="N147" s="79"/>
      <c r="O147" s="80" t="s">
        <v>107</v>
      </c>
      <c r="P147" s="81">
        <f aca="true" t="shared" si="63" ref="P147:U147">P106-D106</f>
        <v>3.549212124198675E-05</v>
      </c>
      <c r="Q147" s="39">
        <f t="shared" si="63"/>
        <v>-1213.999960300001</v>
      </c>
      <c r="R147" s="39">
        <f t="shared" si="63"/>
        <v>0</v>
      </c>
      <c r="S147" s="39">
        <f t="shared" si="63"/>
        <v>-1213.9999248078675</v>
      </c>
      <c r="T147" s="39">
        <f t="shared" si="63"/>
        <v>-1213.9999248078675</v>
      </c>
      <c r="U147" s="257">
        <f t="shared" si="63"/>
        <v>9559571.049999967</v>
      </c>
      <c r="V147" s="73" t="s">
        <v>72</v>
      </c>
    </row>
    <row r="148" spans="1:21" ht="14.25" thickBot="1" thickTop="1">
      <c r="A148" s="60"/>
      <c r="B148" s="60"/>
      <c r="C148" s="60"/>
      <c r="D148" s="60"/>
      <c r="E148" s="60"/>
      <c r="F148" s="60"/>
      <c r="G148" s="60"/>
      <c r="H148" s="60"/>
      <c r="I148" s="219"/>
      <c r="J148" s="258"/>
      <c r="K148" s="258"/>
      <c r="L148" s="258"/>
      <c r="M148" s="258"/>
      <c r="N148" s="79"/>
      <c r="O148" s="80" t="s">
        <v>70</v>
      </c>
      <c r="P148" s="81">
        <f aca="true" t="shared" si="64" ref="P148:U149">P142-D142</f>
        <v>0</v>
      </c>
      <c r="Q148" s="39">
        <f t="shared" si="64"/>
        <v>1173.0000000000073</v>
      </c>
      <c r="R148" s="39">
        <f t="shared" si="64"/>
        <v>0</v>
      </c>
      <c r="S148" s="39">
        <f t="shared" si="64"/>
        <v>1173.0000000000073</v>
      </c>
      <c r="T148" s="39">
        <f t="shared" si="64"/>
        <v>1173.0000000000073</v>
      </c>
      <c r="U148" s="257">
        <f>U142-I142</f>
        <v>748033.5199999958</v>
      </c>
    </row>
    <row r="149" spans="1:21" ht="14.25" thickBot="1" thickTop="1">
      <c r="A149" s="60"/>
      <c r="B149" s="60"/>
      <c r="C149" s="60"/>
      <c r="D149" s="60"/>
      <c r="E149" s="60"/>
      <c r="F149" s="60"/>
      <c r="G149" s="60"/>
      <c r="H149" s="60"/>
      <c r="I149" s="219"/>
      <c r="J149" s="258"/>
      <c r="K149" s="258"/>
      <c r="L149" s="258"/>
      <c r="M149" s="258"/>
      <c r="N149" s="79"/>
      <c r="O149" s="80" t="s">
        <v>71</v>
      </c>
      <c r="P149" s="81">
        <f t="shared" si="64"/>
        <v>3.549212124198675E-05</v>
      </c>
      <c r="Q149" s="39">
        <f t="shared" si="64"/>
        <v>-40.99996029998874</v>
      </c>
      <c r="R149" s="39">
        <f t="shared" si="64"/>
        <v>0</v>
      </c>
      <c r="S149" s="39">
        <f t="shared" si="64"/>
        <v>-40.9999248078384</v>
      </c>
      <c r="T149" s="39">
        <f t="shared" si="64"/>
        <v>-40.9999248078384</v>
      </c>
      <c r="U149" s="257">
        <f t="shared" si="64"/>
        <v>10307604.569999963</v>
      </c>
    </row>
    <row r="150" spans="1:21" ht="13.5" thickTop="1">
      <c r="A150" s="60"/>
      <c r="B150" s="60"/>
      <c r="C150" s="60"/>
      <c r="D150" s="60"/>
      <c r="E150" s="60"/>
      <c r="F150" s="60"/>
      <c r="G150" s="60"/>
      <c r="H150" s="60"/>
      <c r="I150" s="219"/>
      <c r="J150" s="258"/>
      <c r="K150" s="258"/>
      <c r="L150" s="258"/>
      <c r="M150" s="258"/>
      <c r="N150" s="60"/>
      <c r="O150" s="60"/>
      <c r="P150" s="60"/>
      <c r="T150" s="259" t="s">
        <v>139</v>
      </c>
      <c r="U150" s="73">
        <f>U149+I72</f>
        <v>11138172.569999963</v>
      </c>
    </row>
    <row r="151" spans="1:21" ht="12.75">
      <c r="A151" s="60"/>
      <c r="B151" s="60"/>
      <c r="C151" s="60"/>
      <c r="D151" s="60"/>
      <c r="E151" s="60"/>
      <c r="F151" s="60"/>
      <c r="G151" s="60"/>
      <c r="H151" s="60"/>
      <c r="I151" s="219"/>
      <c r="T151" s="259" t="s">
        <v>168</v>
      </c>
      <c r="U151" s="73">
        <f>U150-U149</f>
        <v>830568</v>
      </c>
    </row>
    <row r="152" spans="1:9" ht="12.75">
      <c r="A152" s="60"/>
      <c r="B152" s="60"/>
      <c r="C152" s="60"/>
      <c r="D152" s="60"/>
      <c r="E152" s="60"/>
      <c r="F152" s="60"/>
      <c r="G152" s="60"/>
      <c r="H152" s="60"/>
      <c r="I152" s="219"/>
    </row>
    <row r="153" spans="1:9" ht="12.75">
      <c r="A153" s="60"/>
      <c r="B153" s="60"/>
      <c r="C153" s="60"/>
      <c r="D153" s="60"/>
      <c r="E153" s="60"/>
      <c r="F153" s="60"/>
      <c r="G153" s="60"/>
      <c r="H153" s="60"/>
      <c r="I153" s="219"/>
    </row>
    <row r="154" ht="13.5" thickBot="1"/>
    <row r="155" spans="14:22" ht="14.25" thickBot="1" thickTop="1">
      <c r="N155" s="286" t="s">
        <v>184</v>
      </c>
      <c r="O155" s="285"/>
      <c r="U155" s="260">
        <f>U120-I120+U121-I121+U123-I123+U125-I125+U129-I129+U130-I130+(U131)</f>
        <v>1650392.5199999998</v>
      </c>
      <c r="V155" s="60" t="s">
        <v>72</v>
      </c>
    </row>
    <row r="156" spans="14:21" ht="14.25" thickBot="1" thickTop="1">
      <c r="N156" s="286" t="s">
        <v>185</v>
      </c>
      <c r="O156" s="285"/>
      <c r="U156" s="260">
        <f>U118-I118+U119-I119+U127-I127+U128-I128+U134-I134+U140-I140</f>
        <v>251641</v>
      </c>
    </row>
    <row r="157" spans="14:21" ht="14.25" thickBot="1" thickTop="1">
      <c r="N157" s="284" t="s">
        <v>186</v>
      </c>
      <c r="O157" s="285"/>
      <c r="U157" s="257">
        <f>U155+U156</f>
        <v>1902033.5199999998</v>
      </c>
    </row>
    <row r="158" ht="13.5" thickTop="1"/>
    <row r="159" ht="12.75">
      <c r="U159" s="73">
        <f>U148-U157</f>
        <v>-1154000.000000004</v>
      </c>
    </row>
    <row r="160" spans="15:21" ht="12.75">
      <c r="O160" s="73">
        <f>(70000-69999)+(300000-48360)</f>
        <v>251641</v>
      </c>
      <c r="P160" s="73" t="s">
        <v>214</v>
      </c>
      <c r="T160" s="261" t="s">
        <v>198</v>
      </c>
      <c r="U160" s="73">
        <f>U118-I118+U119-I119+U122-I122+U134-I134+U138-I138+U140-I140</f>
        <v>251641</v>
      </c>
    </row>
    <row r="161" spans="15:21" ht="12.75">
      <c r="O161" s="73">
        <f>(6000000-5381721)+(19105000-18624000)</f>
        <v>1099279</v>
      </c>
      <c r="P161" s="73" t="s">
        <v>215</v>
      </c>
      <c r="T161" s="261" t="s">
        <v>197</v>
      </c>
      <c r="U161" s="73">
        <f>U120-I120+U121-I121+U123-I123+U129-I129+U130-I130+U131-I131-I132</f>
        <v>496392.5199999998</v>
      </c>
    </row>
    <row r="162" spans="15:21" ht="12.75">
      <c r="O162" s="73">
        <f>+(1479417-2082303.48)</f>
        <v>-602886.48</v>
      </c>
      <c r="P162" s="73" t="s">
        <v>216</v>
      </c>
      <c r="T162" s="261" t="s">
        <v>199</v>
      </c>
      <c r="U162" s="73">
        <f>U160+U161</f>
        <v>748033.5199999998</v>
      </c>
    </row>
    <row r="163" ht="12.75">
      <c r="U163" s="73">
        <f>U142-I142</f>
        <v>748033.5199999958</v>
      </c>
    </row>
    <row r="164" spans="20:21" ht="12.75">
      <c r="T164" s="261" t="s">
        <v>200</v>
      </c>
      <c r="U164" s="73">
        <f>U107+U151</f>
        <v>10390139.049999967</v>
      </c>
    </row>
    <row r="165" spans="20:21" ht="12.75">
      <c r="T165" s="261" t="s">
        <v>201</v>
      </c>
      <c r="U165" s="73">
        <f>U163+U164</f>
        <v>11138172.569999963</v>
      </c>
    </row>
    <row r="166" spans="20:21" ht="12.75">
      <c r="T166" s="261" t="s">
        <v>202</v>
      </c>
      <c r="U166" s="73">
        <f>-I72</f>
        <v>-830568</v>
      </c>
    </row>
    <row r="167" spans="20:21" ht="12.75">
      <c r="T167" s="261" t="s">
        <v>201</v>
      </c>
      <c r="U167" s="73">
        <f>U165+U166</f>
        <v>10307604.569999963</v>
      </c>
    </row>
  </sheetData>
  <mergeCells count="13">
    <mergeCell ref="P1:U1"/>
    <mergeCell ref="N157:O157"/>
    <mergeCell ref="N155:O155"/>
    <mergeCell ref="N156:O156"/>
    <mergeCell ref="A87:C87"/>
    <mergeCell ref="N9:O9"/>
    <mergeCell ref="N75:O75"/>
    <mergeCell ref="N59:O59"/>
    <mergeCell ref="A1:C2"/>
    <mergeCell ref="N68:O68"/>
    <mergeCell ref="O1:O2"/>
    <mergeCell ref="N8:O8"/>
    <mergeCell ref="D1:I1"/>
  </mergeCells>
  <printOptions/>
  <pageMargins left="0.7874015748031497" right="0" top="0.4724409448818898" bottom="0.4724409448818898" header="0.1968503937007874" footer="0.3937007874015748"/>
  <pageSetup horizontalDpi="360" verticalDpi="360" orientation="landscape" paperSize="9" scale="71" r:id="rId1"/>
  <headerFooter alignWithMargins="0">
    <oddHeader>&amp;L&amp;"Arial CE,Tučná kurzíva"&amp;12Závěrečný účet 2009 &amp;"Arial CE,Kurzíva"&amp;11přehled hospodaření příl 2a&amp;R&amp;"Arial CE,Tučná kurzíva"&amp;11ZMČ 16 06 2010</oddHeader>
    <oddFooter>&amp;LVyhotovila: M.Tišlová, ved. OE ÚMČ&amp;C &amp;P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 Tišlová</cp:lastModifiedBy>
  <cp:lastPrinted>2010-06-03T19:21:10Z</cp:lastPrinted>
  <dcterms:created xsi:type="dcterms:W3CDTF">2007-03-15T14:02:07Z</dcterms:created>
  <dcterms:modified xsi:type="dcterms:W3CDTF">2011-02-08T09:41:23Z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