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65491" windowWidth="19320" windowHeight="63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'List1'!$A:$A,'List1'!$2:$2</definedName>
  </definedNames>
  <calcPr fullCalcOnLoad="1"/>
</workbook>
</file>

<file path=xl/sharedStrings.xml><?xml version="1.0" encoding="utf-8"?>
<sst xmlns="http://schemas.openxmlformats.org/spreadsheetml/2006/main" count="141" uniqueCount="101">
  <si>
    <t>602 prodej služeb</t>
  </si>
  <si>
    <t>604 prodej zboží</t>
  </si>
  <si>
    <t>641 penále</t>
  </si>
  <si>
    <t>644 úroky</t>
  </si>
  <si>
    <t>649 jiné ost.výnosy</t>
  </si>
  <si>
    <t>výnosy</t>
  </si>
  <si>
    <t>501 materiál</t>
  </si>
  <si>
    <t>502 energie</t>
  </si>
  <si>
    <r>
      <t xml:space="preserve">503 ost. </t>
    </r>
    <r>
      <rPr>
        <b/>
        <i/>
        <sz val="7"/>
        <rFont val="Arial CE"/>
        <family val="2"/>
      </rPr>
      <t>neskl.dod</t>
    </r>
  </si>
  <si>
    <t>518 ost.služby</t>
  </si>
  <si>
    <t>521 mzd.nákl</t>
  </si>
  <si>
    <t>524 zák.soc.poj</t>
  </si>
  <si>
    <t>532 DzN 538 daně a popl</t>
  </si>
  <si>
    <t>542 ost. pok. a pen</t>
  </si>
  <si>
    <t>543 odpis nedobyt</t>
  </si>
  <si>
    <r>
      <t>542</t>
    </r>
    <r>
      <rPr>
        <b/>
        <i/>
        <sz val="7"/>
        <rFont val="Arial CE"/>
        <family val="2"/>
      </rPr>
      <t xml:space="preserve"> pok.a pen. </t>
    </r>
    <r>
      <rPr>
        <b/>
        <i/>
        <sz val="8"/>
        <rFont val="Arial CE"/>
        <family val="2"/>
      </rPr>
      <t>549</t>
    </r>
    <r>
      <rPr>
        <b/>
        <i/>
        <sz val="7"/>
        <rFont val="Arial CE"/>
        <family val="2"/>
      </rPr>
      <t xml:space="preserve"> jiné ost.nákl</t>
    </r>
  </si>
  <si>
    <t>náklady</t>
  </si>
  <si>
    <t>zisk (+) ztráta (-)</t>
  </si>
  <si>
    <t>xx</t>
  </si>
  <si>
    <t>4 NZZ</t>
  </si>
  <si>
    <t>16 Noviny P 16</t>
  </si>
  <si>
    <t>3313 kino</t>
  </si>
  <si>
    <t>3314 knihovna</t>
  </si>
  <si>
    <t>3319 kult.stř</t>
  </si>
  <si>
    <t>3632 hrob.místa</t>
  </si>
  <si>
    <t>4522 rekr.zař</t>
  </si>
  <si>
    <t>6171 plakát, rozhlas</t>
  </si>
  <si>
    <t>nájemní smlouvy</t>
  </si>
  <si>
    <t>43511 PS dovoz obědů</t>
  </si>
  <si>
    <t>61712 park.hod. prodej</t>
  </si>
  <si>
    <t>43512 PS fyzioter</t>
  </si>
  <si>
    <r>
      <t xml:space="preserve">110819 </t>
    </r>
    <r>
      <rPr>
        <i/>
        <sz val="7"/>
        <rFont val="Arial CE"/>
        <family val="2"/>
      </rPr>
      <t>parkoviště NZZ</t>
    </r>
  </si>
  <si>
    <t>461 DPS</t>
  </si>
  <si>
    <t>1522 MMB</t>
  </si>
  <si>
    <t>060210 ples</t>
  </si>
  <si>
    <r>
      <t xml:space="preserve">                         511 </t>
    </r>
    <r>
      <rPr>
        <i/>
        <sz val="7"/>
        <rFont val="Arial CE"/>
        <family val="2"/>
      </rPr>
      <t xml:space="preserve">opravy           a údržba                                      .        .                                      </t>
    </r>
    <r>
      <rPr>
        <b/>
        <i/>
        <sz val="8"/>
        <rFont val="Arial CE"/>
        <family val="2"/>
      </rPr>
      <t>512</t>
    </r>
    <r>
      <rPr>
        <i/>
        <sz val="7"/>
        <rFont val="Arial CE"/>
        <family val="2"/>
      </rPr>
      <t xml:space="preserve"> cestovné</t>
    </r>
  </si>
  <si>
    <r>
      <t xml:space="preserve">12010  </t>
    </r>
    <r>
      <rPr>
        <i/>
        <sz val="8"/>
        <rFont val="Arial"/>
        <family val="0"/>
      </rPr>
      <t>BH 1/2010</t>
    </r>
  </si>
  <si>
    <t>čp. 1100</t>
  </si>
  <si>
    <t>čp. 1367</t>
  </si>
  <si>
    <t>2098 Na Bet</t>
  </si>
  <si>
    <t>992 Na Viničkách</t>
  </si>
  <si>
    <t>603       pronájem</t>
  </si>
  <si>
    <r>
      <t>55</t>
    </r>
    <r>
      <rPr>
        <b/>
        <i/>
        <sz val="8"/>
        <rFont val="Arial CE"/>
        <family val="0"/>
      </rPr>
      <t>3 2</t>
    </r>
    <r>
      <rPr>
        <b/>
        <i/>
        <sz val="8"/>
        <rFont val="Arial CE"/>
        <family val="2"/>
      </rPr>
      <t xml:space="preserve"> zůst. cena prod</t>
    </r>
  </si>
  <si>
    <t>čp. 1078</t>
  </si>
  <si>
    <t>662   úroky</t>
  </si>
  <si>
    <t>čp. 1517 NDPS</t>
  </si>
  <si>
    <r>
      <t>4520 DS</t>
    </r>
    <r>
      <rPr>
        <i/>
        <sz val="7"/>
        <rFont val="Arial CE"/>
        <family val="0"/>
      </rPr>
      <t xml:space="preserve"> nebyt </t>
    </r>
    <r>
      <rPr>
        <i/>
        <sz val="8"/>
        <rFont val="Arial CE"/>
        <family val="0"/>
      </rPr>
      <t>G</t>
    </r>
  </si>
  <si>
    <r>
      <t xml:space="preserve">22010 </t>
    </r>
    <r>
      <rPr>
        <i/>
        <sz val="8"/>
        <rFont val="Arial"/>
        <family val="0"/>
      </rPr>
      <t>BH 2/2010</t>
    </r>
  </si>
  <si>
    <r>
      <t xml:space="preserve">32010 </t>
    </r>
    <r>
      <rPr>
        <i/>
        <sz val="8"/>
        <rFont val="Arial"/>
        <family val="0"/>
      </rPr>
      <t>BH 3/2010</t>
    </r>
  </si>
  <si>
    <t>DzPN</t>
  </si>
  <si>
    <r>
      <t xml:space="preserve">357 21 </t>
    </r>
    <r>
      <rPr>
        <i/>
        <sz val="8"/>
        <color indexed="17"/>
        <rFont val="Arial"/>
        <family val="2"/>
      </rPr>
      <t>pozemek Pokrok</t>
    </r>
  </si>
  <si>
    <t>čp. 1079</t>
  </si>
  <si>
    <t>čp. 1368</t>
  </si>
  <si>
    <t>98 pronajaté obj.</t>
  </si>
  <si>
    <r>
      <t xml:space="preserve">528529 </t>
    </r>
    <r>
      <rPr>
        <i/>
        <sz val="7"/>
        <rFont val="Arial"/>
        <family val="2"/>
      </rPr>
      <t>pozemky směna Červených</t>
    </r>
  </si>
  <si>
    <t>2105 dřevák Sebast</t>
  </si>
  <si>
    <t>3313/1 KLUB kino</t>
  </si>
  <si>
    <r>
      <t xml:space="preserve">42010 </t>
    </r>
    <r>
      <rPr>
        <i/>
        <sz val="8"/>
        <rFont val="Arial"/>
        <family val="2"/>
      </rPr>
      <t>BH 4/2010</t>
    </r>
  </si>
  <si>
    <r>
      <t xml:space="preserve">52010 </t>
    </r>
    <r>
      <rPr>
        <i/>
        <sz val="8"/>
        <rFont val="Arial"/>
        <family val="2"/>
      </rPr>
      <t>BH 5/2010</t>
    </r>
  </si>
  <si>
    <r>
      <t xml:space="preserve">62010 </t>
    </r>
    <r>
      <rPr>
        <i/>
        <sz val="8"/>
        <color indexed="20"/>
        <rFont val="Arial"/>
        <family val="2"/>
      </rPr>
      <t>BH 6/2010</t>
    </r>
  </si>
  <si>
    <r>
      <t>237110</t>
    </r>
    <r>
      <rPr>
        <i/>
        <sz val="7"/>
        <color indexed="20"/>
        <rFont val="Arial"/>
        <family val="2"/>
      </rPr>
      <t xml:space="preserve"> ČMC reklama</t>
    </r>
  </si>
  <si>
    <r>
      <t>2285,2286,2344/10</t>
    </r>
    <r>
      <rPr>
        <i/>
        <sz val="7"/>
        <color indexed="20"/>
        <rFont val="Arial CE"/>
        <family val="0"/>
      </rPr>
      <t xml:space="preserve"> tísň.vol</t>
    </r>
  </si>
  <si>
    <r>
      <t>61,74,</t>
    </r>
    <r>
      <rPr>
        <i/>
        <sz val="8"/>
        <rFont val="Arial CE"/>
        <family val="2"/>
      </rPr>
      <t>75 Vinohrady</t>
    </r>
  </si>
  <si>
    <r>
      <t>61715 TV Net</t>
    </r>
    <r>
      <rPr>
        <i/>
        <sz val="7"/>
        <rFont val="Arial CE"/>
        <family val="2"/>
      </rPr>
      <t xml:space="preserve"> vč.oprav tras</t>
    </r>
  </si>
  <si>
    <t>1043 Nýřanská</t>
  </si>
  <si>
    <r>
      <t xml:space="preserve">72010 </t>
    </r>
    <r>
      <rPr>
        <i/>
        <sz val="8"/>
        <color indexed="17"/>
        <rFont val="Arial"/>
        <family val="2"/>
      </rPr>
      <t>BH 7/2010</t>
    </r>
  </si>
  <si>
    <r>
      <t xml:space="preserve">čp. 1112 </t>
    </r>
    <r>
      <rPr>
        <i/>
        <sz val="8"/>
        <color indexed="17"/>
        <rFont val="Arial CE"/>
        <family val="0"/>
      </rPr>
      <t>a čp. 102</t>
    </r>
  </si>
  <si>
    <r>
      <t xml:space="preserve">čp. 1061,1062, </t>
    </r>
    <r>
      <rPr>
        <i/>
        <sz val="8"/>
        <color indexed="17"/>
        <rFont val="Arial"/>
        <family val="2"/>
      </rPr>
      <t>1063</t>
    </r>
  </si>
  <si>
    <t>čp. 1251</t>
  </si>
  <si>
    <t xml:space="preserve"> </t>
  </si>
  <si>
    <r>
      <t xml:space="preserve">82010 </t>
    </r>
    <r>
      <rPr>
        <i/>
        <sz val="8"/>
        <color indexed="12"/>
        <rFont val="Arial"/>
        <family val="2"/>
      </rPr>
      <t>BH 8/2010</t>
    </r>
  </si>
  <si>
    <r>
      <t xml:space="preserve">prodej                  647 </t>
    </r>
    <r>
      <rPr>
        <b/>
        <i/>
        <sz val="7"/>
        <rFont val="Arial CE"/>
        <family val="2"/>
      </rPr>
      <t xml:space="preserve">pozemků </t>
    </r>
    <r>
      <rPr>
        <b/>
        <i/>
        <sz val="8"/>
        <rFont val="Arial CE"/>
        <family val="2"/>
      </rPr>
      <t xml:space="preserve">651 </t>
    </r>
    <r>
      <rPr>
        <b/>
        <i/>
        <sz val="7"/>
        <rFont val="Arial CE"/>
        <family val="2"/>
      </rPr>
      <t>NIM a HIM</t>
    </r>
  </si>
  <si>
    <r>
      <t>521 mzd.nákl</t>
    </r>
    <r>
      <rPr>
        <b/>
        <i/>
        <sz val="7"/>
        <rFont val="Arial CE"/>
        <family val="2"/>
      </rPr>
      <t xml:space="preserve">      4-6/2010</t>
    </r>
  </si>
  <si>
    <r>
      <t>524 zák.soc.poj</t>
    </r>
    <r>
      <rPr>
        <b/>
        <i/>
        <sz val="7"/>
        <rFont val="Arial CE"/>
        <family val="2"/>
      </rPr>
      <t xml:space="preserve">    4-6/2010</t>
    </r>
  </si>
  <si>
    <t>553 2 zůst. cena prod</t>
  </si>
  <si>
    <t>641 penále 642 jiné pok.a pen</t>
  </si>
  <si>
    <r>
      <t xml:space="preserve">92010 </t>
    </r>
    <r>
      <rPr>
        <i/>
        <sz val="8"/>
        <color indexed="20"/>
        <rFont val="Arial"/>
        <family val="2"/>
      </rPr>
      <t>BH 9/2010</t>
    </r>
  </si>
  <si>
    <r>
      <t>233410</t>
    </r>
    <r>
      <rPr>
        <i/>
        <sz val="6"/>
        <color indexed="20"/>
        <rFont val="Arial CE"/>
        <family val="0"/>
      </rPr>
      <t xml:space="preserve"> (10) </t>
    </r>
    <r>
      <rPr>
        <i/>
        <sz val="8"/>
        <color indexed="20"/>
        <rFont val="Arial CE"/>
        <family val="2"/>
      </rPr>
      <t>239010</t>
    </r>
    <r>
      <rPr>
        <i/>
        <sz val="6"/>
        <color indexed="20"/>
        <rFont val="Arial CE"/>
        <family val="0"/>
      </rPr>
      <t xml:space="preserve"> (30 JSDH) </t>
    </r>
    <r>
      <rPr>
        <i/>
        <sz val="7"/>
        <color indexed="20"/>
        <rFont val="Arial CE"/>
        <family val="0"/>
      </rPr>
      <t>prodej vozu</t>
    </r>
  </si>
  <si>
    <r>
      <t xml:space="preserve">čp </t>
    </r>
    <r>
      <rPr>
        <i/>
        <sz val="8"/>
        <color indexed="20"/>
        <rFont val="Arial CE"/>
        <family val="0"/>
      </rPr>
      <t>1074,</t>
    </r>
    <r>
      <rPr>
        <i/>
        <sz val="8"/>
        <rFont val="Arial CE"/>
        <family val="2"/>
      </rPr>
      <t>1075</t>
    </r>
  </si>
  <si>
    <t>čp. 1379</t>
  </si>
  <si>
    <r>
      <t xml:space="preserve">prodej                  647 </t>
    </r>
    <r>
      <rPr>
        <b/>
        <i/>
        <sz val="7"/>
        <rFont val="Arial CE"/>
        <family val="0"/>
      </rPr>
      <t xml:space="preserve">pozemků </t>
    </r>
    <r>
      <rPr>
        <b/>
        <i/>
        <sz val="8"/>
        <rFont val="Arial CE"/>
        <family val="0"/>
      </rPr>
      <t>646</t>
    </r>
    <r>
      <rPr>
        <b/>
        <i/>
        <sz val="7"/>
        <rFont val="Arial CE"/>
        <family val="0"/>
      </rPr>
      <t xml:space="preserve"> </t>
    </r>
    <r>
      <rPr>
        <b/>
        <i/>
        <sz val="6"/>
        <rFont val="Arial CE"/>
        <family val="0"/>
      </rPr>
      <t>651</t>
    </r>
    <r>
      <rPr>
        <b/>
        <i/>
        <sz val="8"/>
        <rFont val="Arial CE"/>
        <family val="2"/>
      </rPr>
      <t xml:space="preserve"> </t>
    </r>
    <r>
      <rPr>
        <b/>
        <i/>
        <sz val="7"/>
        <rFont val="Arial CE"/>
        <family val="0"/>
      </rPr>
      <t>NIM a HIM</t>
    </r>
  </si>
  <si>
    <t>9102010 Hav.posv</t>
  </si>
  <si>
    <t>L e d e n - l i s t o p a d   2 0 1 0   v ý n o s y</t>
  </si>
  <si>
    <t>L e d e n - l i s t o p a d   2 0 1 0   n á k l a d y</t>
  </si>
  <si>
    <r>
      <t>102010</t>
    </r>
    <r>
      <rPr>
        <i/>
        <sz val="8"/>
        <color indexed="12"/>
        <rFont val="Arial"/>
        <family val="2"/>
      </rPr>
      <t xml:space="preserve"> BH 10/2010</t>
    </r>
  </si>
  <si>
    <r>
      <t xml:space="preserve">112010 </t>
    </r>
    <r>
      <rPr>
        <i/>
        <sz val="8"/>
        <color indexed="17"/>
        <rFont val="Arial"/>
        <family val="2"/>
      </rPr>
      <t>BH 11/2010</t>
    </r>
  </si>
  <si>
    <r>
      <t>xx org 130 (</t>
    </r>
    <r>
      <rPr>
        <i/>
        <sz val="8"/>
        <color indexed="17"/>
        <rFont val="Arial CE"/>
        <family val="0"/>
      </rPr>
      <t>070)</t>
    </r>
    <r>
      <rPr>
        <i/>
        <sz val="8"/>
        <rFont val="Arial CE"/>
        <family val="2"/>
      </rPr>
      <t xml:space="preserve"> SON</t>
    </r>
  </si>
  <si>
    <t>5 JSDH, bazar nebo byty ??</t>
  </si>
  <si>
    <r>
      <t>1015</t>
    </r>
    <r>
      <rPr>
        <i/>
        <sz val="8"/>
        <color indexed="17"/>
        <rFont val="Arial CE"/>
        <family val="0"/>
      </rPr>
      <t>, 1016</t>
    </r>
    <r>
      <rPr>
        <i/>
        <sz val="8"/>
        <color indexed="12"/>
        <rFont val="Arial CE"/>
        <family val="2"/>
      </rPr>
      <t xml:space="preserve"> čerp. účtu oprav</t>
    </r>
  </si>
  <si>
    <r>
      <t xml:space="preserve">čp. </t>
    </r>
    <r>
      <rPr>
        <i/>
        <sz val="8"/>
        <color indexed="17"/>
        <rFont val="Arial"/>
        <family val="2"/>
      </rPr>
      <t>1065,</t>
    </r>
    <r>
      <rPr>
        <i/>
        <sz val="8"/>
        <rFont val="Arial"/>
        <family val="2"/>
      </rPr>
      <t>1066,</t>
    </r>
    <r>
      <rPr>
        <i/>
        <sz val="8"/>
        <color indexed="20"/>
        <rFont val="Arial"/>
        <family val="2"/>
      </rPr>
      <t>1067,1068</t>
    </r>
  </si>
  <si>
    <r>
      <t>čp. 1069,1070,</t>
    </r>
    <r>
      <rPr>
        <i/>
        <sz val="8"/>
        <color indexed="17"/>
        <rFont val="Arial CE"/>
        <family val="0"/>
      </rPr>
      <t>1071</t>
    </r>
  </si>
  <si>
    <r>
      <t>čp. 1080,1081,</t>
    </r>
    <r>
      <rPr>
        <i/>
        <sz val="8"/>
        <color indexed="17"/>
        <rFont val="Arial CE"/>
        <family val="0"/>
      </rPr>
      <t>1082</t>
    </r>
  </si>
  <si>
    <r>
      <t>5163 bank.popl</t>
    </r>
    <r>
      <rPr>
        <i/>
        <sz val="8"/>
        <color indexed="17"/>
        <rFont val="Arial CE"/>
        <family val="0"/>
      </rPr>
      <t xml:space="preserve"> nákl: 569 !!</t>
    </r>
  </si>
  <si>
    <r>
      <t>5164 bank.popl BH</t>
    </r>
    <r>
      <rPr>
        <i/>
        <sz val="8"/>
        <color indexed="17"/>
        <rFont val="Arial CE"/>
        <family val="0"/>
      </rPr>
      <t xml:space="preserve"> nákl 5169 !!</t>
    </r>
  </si>
  <si>
    <t>L e d e n - p r o s i n e c   2 0 1 0   v ý n o s y</t>
  </si>
  <si>
    <t>L e d e n - p r o s i n e c   2 0 1 0   n á k l a d y</t>
  </si>
  <si>
    <t>P r o s i n e c   2 0 1 0   v ý n o s y</t>
  </si>
  <si>
    <t>P r o s i n e c   2 0 1 0   n á k l a d y</t>
  </si>
  <si>
    <r>
      <t xml:space="preserve">122010 </t>
    </r>
    <r>
      <rPr>
        <i/>
        <sz val="8"/>
        <color indexed="12"/>
        <rFont val="Arial"/>
        <family val="2"/>
      </rPr>
      <t>BH 12/2010</t>
    </r>
  </si>
  <si>
    <t>133504 oprava na 602</t>
  </si>
  <si>
    <t>246210 oprava na 602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</si>
</sst>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b/>
      <i/>
      <sz val="8"/>
      <name val="Arial CE"/>
      <family val="2"/>
    </font>
    <font>
      <b/>
      <sz val="11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b/>
      <sz val="10"/>
      <name val="Arial CE"/>
      <family val="2"/>
    </font>
    <font>
      <sz val="9"/>
      <color indexed="17"/>
      <name val="Arial CE"/>
      <family val="2"/>
    </font>
    <font>
      <b/>
      <i/>
      <sz val="11"/>
      <color indexed="17"/>
      <name val="Arial CE"/>
      <family val="2"/>
    </font>
    <font>
      <i/>
      <sz val="8"/>
      <name val="Arial CE"/>
      <family val="2"/>
    </font>
    <font>
      <i/>
      <sz val="8"/>
      <name val="Arial"/>
      <family val="0"/>
    </font>
    <font>
      <b/>
      <sz val="9"/>
      <color indexed="17"/>
      <name val="Arial CE"/>
      <family val="0"/>
    </font>
    <font>
      <i/>
      <sz val="7"/>
      <name val="Arial"/>
      <family val="2"/>
    </font>
    <font>
      <b/>
      <sz val="9"/>
      <name val="Arial CE"/>
      <family val="2"/>
    </font>
    <font>
      <b/>
      <i/>
      <sz val="9"/>
      <name val="Arial CE"/>
      <family val="0"/>
    </font>
    <font>
      <i/>
      <sz val="7"/>
      <color indexed="17"/>
      <name val="Arial"/>
      <family val="2"/>
    </font>
    <font>
      <i/>
      <sz val="8"/>
      <color indexed="17"/>
      <name val="Arial"/>
      <family val="2"/>
    </font>
    <font>
      <sz val="10"/>
      <color indexed="17"/>
      <name val="Arial"/>
      <family val="2"/>
    </font>
    <font>
      <i/>
      <sz val="8"/>
      <color indexed="17"/>
      <name val="Arial CE"/>
      <family val="2"/>
    </font>
    <font>
      <i/>
      <sz val="8"/>
      <color indexed="10"/>
      <name val="Arial"/>
      <family val="2"/>
    </font>
    <font>
      <sz val="10"/>
      <color indexed="12"/>
      <name val="Arial"/>
      <family val="0"/>
    </font>
    <font>
      <i/>
      <sz val="8"/>
      <color indexed="12"/>
      <name val="Arial"/>
      <family val="0"/>
    </font>
    <font>
      <i/>
      <sz val="8"/>
      <color indexed="12"/>
      <name val="Arial CE"/>
      <family val="2"/>
    </font>
    <font>
      <i/>
      <sz val="8"/>
      <color indexed="20"/>
      <name val="Arial CE"/>
      <family val="2"/>
    </font>
    <font>
      <i/>
      <sz val="7"/>
      <color indexed="20"/>
      <name val="Arial"/>
      <family val="2"/>
    </font>
    <font>
      <i/>
      <sz val="8"/>
      <color indexed="20"/>
      <name val="Arial"/>
      <family val="2"/>
    </font>
    <font>
      <sz val="8"/>
      <color indexed="20"/>
      <name val="Arial"/>
      <family val="2"/>
    </font>
    <font>
      <i/>
      <sz val="7"/>
      <color indexed="20"/>
      <name val="Arial CE"/>
      <family val="0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i/>
      <sz val="7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0"/>
    </font>
    <font>
      <b/>
      <sz val="7"/>
      <color indexed="12"/>
      <name val="Arial CE"/>
      <family val="2"/>
    </font>
    <font>
      <sz val="10"/>
      <color indexed="20"/>
      <name val="Arial"/>
      <family val="2"/>
    </font>
    <font>
      <i/>
      <sz val="6"/>
      <color indexed="20"/>
      <name val="Arial CE"/>
      <family val="0"/>
    </font>
    <font>
      <sz val="10"/>
      <color indexed="10"/>
      <name val="Arial"/>
      <family val="0"/>
    </font>
    <font>
      <b/>
      <i/>
      <sz val="6"/>
      <name val="Arial CE"/>
      <family val="0"/>
    </font>
    <font>
      <sz val="10"/>
      <color indexed="17"/>
      <name val="Arial CE"/>
      <family val="2"/>
    </font>
    <font>
      <i/>
      <sz val="10"/>
      <color indexed="12"/>
      <name val="Arial"/>
      <family val="0"/>
    </font>
    <font>
      <sz val="8"/>
      <name val="Arial"/>
      <family val="2"/>
    </font>
    <font>
      <b/>
      <sz val="8"/>
      <name val="Arial CE"/>
      <family val="2"/>
    </font>
    <font>
      <sz val="8"/>
      <color indexed="17"/>
      <name val="Arial CE"/>
      <family val="2"/>
    </font>
    <font>
      <b/>
      <sz val="8"/>
      <color indexed="12"/>
      <name val="Arial CE"/>
      <family val="2"/>
    </font>
    <font>
      <sz val="9"/>
      <color indexed="17"/>
      <name val="Arial"/>
      <family val="2"/>
    </font>
    <font>
      <sz val="8"/>
      <color indexed="17"/>
      <name val="Arial"/>
      <family val="0"/>
    </font>
    <font>
      <sz val="9"/>
      <color indexed="20"/>
      <name val="Arial"/>
      <family val="2"/>
    </font>
    <font>
      <i/>
      <sz val="9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" fontId="2" fillId="0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4" fontId="10" fillId="2" borderId="0" xfId="0" applyNumberFormat="1" applyFont="1" applyFill="1" applyAlignment="1">
      <alignment/>
    </xf>
    <xf numFmtId="4" fontId="10" fillId="2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2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13" fillId="2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3" fontId="24" fillId="0" borderId="0" xfId="0" applyNumberFormat="1" applyFont="1" applyAlignment="1">
      <alignment/>
    </xf>
    <xf numFmtId="0" fontId="27" fillId="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vertical="top" wrapText="1"/>
    </xf>
    <xf numFmtId="4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31" fillId="2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4" fontId="3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4" fontId="19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" fontId="36" fillId="0" borderId="0" xfId="0" applyNumberFormat="1" applyFont="1" applyAlignment="1">
      <alignment wrapText="1"/>
    </xf>
    <xf numFmtId="4" fontId="37" fillId="2" borderId="0" xfId="0" applyNumberFormat="1" applyFont="1" applyFill="1" applyAlignment="1">
      <alignment wrapText="1"/>
    </xf>
    <xf numFmtId="4" fontId="36" fillId="0" borderId="0" xfId="0" applyNumberFormat="1" applyFont="1" applyAlignment="1">
      <alignment wrapText="1"/>
    </xf>
    <xf numFmtId="0" fontId="38" fillId="0" borderId="0" xfId="0" applyFont="1" applyAlignment="1">
      <alignment/>
    </xf>
    <xf numFmtId="4" fontId="40" fillId="0" borderId="0" xfId="0" applyNumberFormat="1" applyFont="1" applyAlignment="1">
      <alignment/>
    </xf>
    <xf numFmtId="0" fontId="0" fillId="0" borderId="0" xfId="0" applyFont="1" applyAlignment="1">
      <alignment/>
    </xf>
    <xf numFmtId="4" fontId="35" fillId="0" borderId="0" xfId="0" applyNumberFormat="1" applyFont="1" applyAlignment="1">
      <alignment/>
    </xf>
    <xf numFmtId="4" fontId="42" fillId="0" borderId="0" xfId="0" applyNumberFormat="1" applyFont="1" applyFill="1" applyAlignment="1">
      <alignment/>
    </xf>
    <xf numFmtId="4" fontId="43" fillId="0" borderId="0" xfId="0" applyNumberFormat="1" applyFont="1" applyAlignment="1">
      <alignment/>
    </xf>
    <xf numFmtId="4" fontId="19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4" fontId="0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25" fillId="0" borderId="0" xfId="0" applyFont="1" applyAlignment="1">
      <alignment/>
    </xf>
    <xf numFmtId="4" fontId="44" fillId="0" borderId="0" xfId="0" applyNumberFormat="1" applyFont="1" applyAlignment="1">
      <alignment/>
    </xf>
    <xf numFmtId="4" fontId="45" fillId="2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4" fontId="47" fillId="2" borderId="0" xfId="0" applyNumberFormat="1" applyFont="1" applyFill="1" applyAlignment="1">
      <alignment/>
    </xf>
    <xf numFmtId="4" fontId="34" fillId="0" borderId="0" xfId="0" applyNumberFormat="1" applyFont="1" applyAlignment="1">
      <alignment wrapText="1"/>
    </xf>
    <xf numFmtId="0" fontId="34" fillId="0" borderId="0" xfId="0" applyFont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4" fontId="51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35" fillId="0" borderId="0" xfId="0" applyNumberFormat="1" applyFont="1" applyAlignment="1">
      <alignment wrapText="1"/>
    </xf>
    <xf numFmtId="0" fontId="35" fillId="0" borderId="0" xfId="0" applyFont="1" applyAlignment="1">
      <alignment/>
    </xf>
    <xf numFmtId="4" fontId="19" fillId="4" borderId="0" xfId="0" applyNumberFormat="1" applyFont="1" applyFill="1" applyAlignment="1">
      <alignment/>
    </xf>
    <xf numFmtId="4" fontId="0" fillId="4" borderId="0" xfId="0" applyNumberFormat="1" applyFont="1" applyFill="1" applyAlignment="1">
      <alignment/>
    </xf>
    <xf numFmtId="4" fontId="0" fillId="4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30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30" fillId="2" borderId="0" xfId="0" applyFont="1" applyFill="1" applyAlignment="1">
      <alignment horizontal="center"/>
    </xf>
    <xf numFmtId="4" fontId="30" fillId="3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4" fontId="27" fillId="3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2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5"/>
  <sheetViews>
    <sheetView tabSelected="1" zoomScale="85" zoomScaleNormal="85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X2" sqref="AX1:AX16384"/>
    </sheetView>
  </sheetViews>
  <sheetFormatPr defaultColWidth="9.140625" defaultRowHeight="12.75"/>
  <cols>
    <col min="1" max="1" width="22.7109375" style="8" customWidth="1"/>
    <col min="2" max="2" width="0" style="17" hidden="1" customWidth="1"/>
    <col min="3" max="3" width="11.7109375" style="74" customWidth="1"/>
    <col min="4" max="4" width="12.7109375" style="74" customWidth="1"/>
    <col min="5" max="5" width="9.7109375" style="74" customWidth="1"/>
    <col min="6" max="6" width="9.8515625" style="74" customWidth="1"/>
    <col min="7" max="7" width="0" style="74" hidden="1" customWidth="1"/>
    <col min="8" max="8" width="12.28125" style="74" customWidth="1"/>
    <col min="9" max="9" width="13.28125" style="74" bestFit="1" customWidth="1"/>
    <col min="10" max="10" width="9.8515625" style="74" customWidth="1"/>
    <col min="11" max="11" width="14.7109375" style="75" bestFit="1" customWidth="1"/>
    <col min="12" max="13" width="9.8515625" style="74" customWidth="1"/>
    <col min="14" max="14" width="7.8515625" style="74" customWidth="1"/>
    <col min="15" max="15" width="11.7109375" style="74" customWidth="1"/>
    <col min="16" max="16" width="10.28125" style="74" customWidth="1"/>
    <col min="17" max="17" width="11.8515625" style="74" customWidth="1"/>
    <col min="18" max="19" width="11.00390625" style="74" customWidth="1"/>
    <col min="20" max="21" width="5.7109375" style="74" hidden="1" customWidth="1"/>
    <col min="22" max="22" width="9.8515625" style="74" customWidth="1"/>
    <col min="23" max="23" width="12.57421875" style="74" customWidth="1"/>
    <col min="24" max="24" width="13.57421875" style="75" bestFit="1" customWidth="1"/>
    <col min="25" max="25" width="12.7109375" style="0" customWidth="1"/>
    <col min="26" max="26" width="10.57421875" style="21" hidden="1" customWidth="1"/>
    <col min="27" max="27" width="11.7109375" style="74" hidden="1" customWidth="1"/>
    <col min="28" max="28" width="12.7109375" style="74" hidden="1" customWidth="1"/>
    <col min="29" max="29" width="9.7109375" style="74" hidden="1" customWidth="1"/>
    <col min="30" max="30" width="9.8515625" style="74" hidden="1" customWidth="1"/>
    <col min="31" max="31" width="0" style="74" hidden="1" customWidth="1"/>
    <col min="32" max="32" width="10.28125" style="74" hidden="1" customWidth="1"/>
    <col min="33" max="33" width="13.421875" style="74" hidden="1" customWidth="1"/>
    <col min="34" max="34" width="9.8515625" style="74" hidden="1" customWidth="1"/>
    <col min="35" max="35" width="12.8515625" style="65" hidden="1" customWidth="1"/>
    <col min="36" max="37" width="9.8515625" style="74" hidden="1" customWidth="1"/>
    <col min="38" max="38" width="7.8515625" style="74" hidden="1" customWidth="1"/>
    <col min="39" max="39" width="11.7109375" style="74" hidden="1" customWidth="1"/>
    <col min="40" max="40" width="10.28125" style="74" hidden="1" customWidth="1"/>
    <col min="41" max="41" width="11.8515625" style="74" hidden="1" customWidth="1"/>
    <col min="42" max="43" width="11.00390625" style="74" hidden="1" customWidth="1"/>
    <col min="44" max="45" width="5.7109375" style="74" hidden="1" customWidth="1"/>
    <col min="46" max="46" width="9.8515625" style="74" hidden="1" customWidth="1"/>
    <col min="47" max="47" width="12.57421875" style="74" hidden="1" customWidth="1"/>
    <col min="48" max="48" width="11.8515625" style="65" hidden="1" customWidth="1"/>
    <col min="49" max="49" width="12.7109375" style="0" hidden="1" customWidth="1"/>
    <col min="50" max="50" width="10.28125" style="51" customWidth="1"/>
    <col min="51" max="51" width="12.421875" style="51" customWidth="1"/>
    <col min="52" max="53" width="12.140625" style="51" customWidth="1"/>
    <col min="54" max="54" width="9.7109375" style="51" customWidth="1"/>
    <col min="55" max="55" width="9.8515625" style="51" customWidth="1"/>
    <col min="56" max="56" width="0" style="51" hidden="1" customWidth="1"/>
    <col min="57" max="57" width="9.140625" style="51" customWidth="1"/>
    <col min="58" max="58" width="12.421875" style="51" customWidth="1"/>
    <col min="59" max="59" width="9.7109375" style="51" customWidth="1"/>
    <col min="60" max="60" width="13.28125" style="51" bestFit="1" customWidth="1"/>
    <col min="61" max="61" width="9.8515625" style="51" customWidth="1"/>
    <col min="62" max="62" width="13.7109375" style="31" bestFit="1" customWidth="1"/>
    <col min="63" max="63" width="9.7109375" style="51" customWidth="1"/>
    <col min="64" max="64" width="4.7109375" style="60" customWidth="1"/>
    <col min="65" max="65" width="9.140625" style="51" customWidth="1"/>
    <col min="66" max="66" width="10.421875" style="60" customWidth="1"/>
    <col min="67" max="67" width="7.8515625" style="51" customWidth="1"/>
    <col min="68" max="68" width="9.8515625" style="51" customWidth="1"/>
    <col min="69" max="69" width="26.28125" style="60" customWidth="1"/>
    <col min="70" max="70" width="9.8515625" style="51" customWidth="1"/>
    <col min="71" max="71" width="17.8515625" style="60" bestFit="1" customWidth="1"/>
    <col min="72" max="73" width="11.00390625" style="51" customWidth="1"/>
    <col min="74" max="74" width="8.7109375" style="51" customWidth="1"/>
    <col min="75" max="76" width="5.7109375" style="51" hidden="1" customWidth="1"/>
    <col min="77" max="77" width="8.8515625" style="51" customWidth="1"/>
    <col min="78" max="78" width="8.8515625" style="60" hidden="1" customWidth="1"/>
    <col min="79" max="79" width="11.00390625" style="51" customWidth="1"/>
    <col min="80" max="80" width="11.8515625" style="31" customWidth="1"/>
    <col min="81" max="81" width="12.28125" style="0" customWidth="1"/>
  </cols>
  <sheetData>
    <row r="1" spans="1:81" ht="12.75">
      <c r="A1" s="30">
        <f>H3+H4+5077757.47</f>
        <v>0</v>
      </c>
      <c r="C1" s="108" t="s">
        <v>94</v>
      </c>
      <c r="D1" s="106"/>
      <c r="E1" s="106"/>
      <c r="F1" s="106"/>
      <c r="G1" s="106"/>
      <c r="H1" s="106"/>
      <c r="I1" s="106"/>
      <c r="J1" s="106"/>
      <c r="K1" s="106"/>
      <c r="L1" s="109" t="s">
        <v>95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43"/>
      <c r="AA1" s="110" t="s">
        <v>82</v>
      </c>
      <c r="AB1" s="111"/>
      <c r="AC1" s="111"/>
      <c r="AD1" s="111"/>
      <c r="AE1" s="111"/>
      <c r="AF1" s="111"/>
      <c r="AG1" s="111"/>
      <c r="AH1" s="111"/>
      <c r="AI1" s="111"/>
      <c r="AJ1" s="112" t="s">
        <v>83</v>
      </c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44"/>
      <c r="AX1" s="105" t="s">
        <v>96</v>
      </c>
      <c r="AY1" s="105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7" t="s">
        <v>97</v>
      </c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42"/>
    </row>
    <row r="2" spans="1:81" ht="34.5" customHeight="1">
      <c r="A2" s="21"/>
      <c r="C2" s="18" t="s">
        <v>0</v>
      </c>
      <c r="D2" s="18" t="s">
        <v>41</v>
      </c>
      <c r="E2" s="18" t="s">
        <v>1</v>
      </c>
      <c r="F2" s="18" t="s">
        <v>75</v>
      </c>
      <c r="G2" s="18" t="s">
        <v>3</v>
      </c>
      <c r="H2" s="18" t="s">
        <v>4</v>
      </c>
      <c r="I2" s="18" t="s">
        <v>80</v>
      </c>
      <c r="J2" s="18" t="s">
        <v>44</v>
      </c>
      <c r="K2" s="19" t="s">
        <v>5</v>
      </c>
      <c r="L2" s="7" t="s">
        <v>6</v>
      </c>
      <c r="M2" s="7" t="s">
        <v>7</v>
      </c>
      <c r="N2" s="7" t="s">
        <v>8</v>
      </c>
      <c r="O2" s="11" t="s">
        <v>35</v>
      </c>
      <c r="P2" s="7" t="s">
        <v>9</v>
      </c>
      <c r="Q2" s="7" t="s">
        <v>10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42</v>
      </c>
      <c r="X2" s="1" t="s">
        <v>16</v>
      </c>
      <c r="Y2" s="4" t="s">
        <v>17</v>
      </c>
      <c r="Z2" s="7" t="s">
        <v>49</v>
      </c>
      <c r="AA2" s="18" t="s">
        <v>0</v>
      </c>
      <c r="AB2" s="18" t="s">
        <v>41</v>
      </c>
      <c r="AC2" s="18" t="s">
        <v>1</v>
      </c>
      <c r="AD2" s="18" t="s">
        <v>75</v>
      </c>
      <c r="AE2" s="18" t="s">
        <v>3</v>
      </c>
      <c r="AF2" s="18" t="s">
        <v>4</v>
      </c>
      <c r="AG2" s="18" t="s">
        <v>80</v>
      </c>
      <c r="AH2" s="18" t="s">
        <v>44</v>
      </c>
      <c r="AI2" s="19" t="s">
        <v>5</v>
      </c>
      <c r="AJ2" s="7" t="s">
        <v>6</v>
      </c>
      <c r="AK2" s="7" t="s">
        <v>7</v>
      </c>
      <c r="AL2" s="7" t="s">
        <v>8</v>
      </c>
      <c r="AM2" s="11" t="s">
        <v>35</v>
      </c>
      <c r="AN2" s="7" t="s">
        <v>9</v>
      </c>
      <c r="AO2" s="7" t="s">
        <v>10</v>
      </c>
      <c r="AP2" s="7" t="s">
        <v>11</v>
      </c>
      <c r="AQ2" s="7" t="s">
        <v>12</v>
      </c>
      <c r="AR2" s="7" t="s">
        <v>13</v>
      </c>
      <c r="AS2" s="7" t="s">
        <v>14</v>
      </c>
      <c r="AT2" s="7" t="s">
        <v>15</v>
      </c>
      <c r="AU2" s="7" t="s">
        <v>42</v>
      </c>
      <c r="AV2" s="1" t="s">
        <v>16</v>
      </c>
      <c r="AW2" s="4"/>
      <c r="AX2" s="18" t="s">
        <v>0</v>
      </c>
      <c r="AY2" s="18"/>
      <c r="AZ2" s="18" t="s">
        <v>41</v>
      </c>
      <c r="BA2" s="18"/>
      <c r="BB2" s="18" t="s">
        <v>1</v>
      </c>
      <c r="BC2" s="18" t="s">
        <v>2</v>
      </c>
      <c r="BD2" s="18" t="s">
        <v>3</v>
      </c>
      <c r="BE2" s="18"/>
      <c r="BF2" s="18" t="s">
        <v>4</v>
      </c>
      <c r="BG2" s="18"/>
      <c r="BH2" s="18" t="s">
        <v>71</v>
      </c>
      <c r="BI2" s="18" t="s">
        <v>44</v>
      </c>
      <c r="BJ2" s="19" t="s">
        <v>5</v>
      </c>
      <c r="BK2" s="7" t="s">
        <v>6</v>
      </c>
      <c r="BL2" s="46"/>
      <c r="BM2" s="7" t="s">
        <v>7</v>
      </c>
      <c r="BN2" s="46"/>
      <c r="BO2" s="7" t="s">
        <v>8</v>
      </c>
      <c r="BP2" s="11" t="s">
        <v>35</v>
      </c>
      <c r="BQ2" s="47"/>
      <c r="BR2" s="7" t="s">
        <v>9</v>
      </c>
      <c r="BS2" s="46"/>
      <c r="BT2" s="7" t="s">
        <v>72</v>
      </c>
      <c r="BU2" s="7" t="s">
        <v>73</v>
      </c>
      <c r="BV2" s="7" t="s">
        <v>12</v>
      </c>
      <c r="BW2" s="7" t="s">
        <v>13</v>
      </c>
      <c r="BX2" s="7" t="s">
        <v>14</v>
      </c>
      <c r="BY2" s="7" t="s">
        <v>15</v>
      </c>
      <c r="BZ2" s="46"/>
      <c r="CA2" s="7" t="s">
        <v>74</v>
      </c>
      <c r="CB2" s="1" t="s">
        <v>16</v>
      </c>
      <c r="CC2" s="4" t="s">
        <v>17</v>
      </c>
    </row>
    <row r="3" spans="1:81" ht="12.75">
      <c r="A3" s="5" t="s">
        <v>18</v>
      </c>
      <c r="C3" s="14"/>
      <c r="D3" s="14"/>
      <c r="E3" s="14"/>
      <c r="F3" s="14">
        <f>(683*0+2/2*1366*0+3/3*2049)*0</f>
        <v>0</v>
      </c>
      <c r="G3" s="14"/>
      <c r="H3" s="100">
        <f>0.12*0+3/3*0.22*0+4/4*0.9*0+5/5*1.59*0+6/6*2.66*0+7/7*(2.3*0+8/8*1.5*0+9/9*2.29*0+10/10*2.36*0+11/11*2.34*0+12/12*2.3+27576.09)+27/27*-5134261.86</f>
        <v>-5106683.470000001</v>
      </c>
      <c r="I3" s="14"/>
      <c r="J3" s="51">
        <f>3/3*23566.96*0+6/6*53500.14*0+9/9*66085.38*0+12/12*79800.9+130/130*9481.65*0</f>
        <v>79800.9</v>
      </c>
      <c r="K3" s="52">
        <f>SUM(B3:J3)</f>
        <v>-5026882.57</v>
      </c>
      <c r="L3" s="14">
        <f>220*0+2/2*2202*0*3/3</f>
        <v>0</v>
      </c>
      <c r="M3" s="14"/>
      <c r="N3" s="14"/>
      <c r="O3" s="51">
        <f>41/41*(2/2*12904*0*3/3+7/7*1446*0+10/10*2770)+12/12*62/62*321</f>
        <v>3091</v>
      </c>
      <c r="P3" s="14">
        <f>16671.5*0+2/2*23008.1*0</f>
        <v>0</v>
      </c>
      <c r="Q3" s="14"/>
      <c r="R3" s="14"/>
      <c r="S3" s="14">
        <f>6/6*1446</f>
        <v>1446</v>
      </c>
      <c r="T3" s="14"/>
      <c r="U3" s="14"/>
      <c r="V3" s="14">
        <f>2/2*0.46</f>
        <v>0.46</v>
      </c>
      <c r="W3" s="14"/>
      <c r="X3" s="52">
        <f aca="true" t="shared" si="0" ref="X3:X39">SUM(L3:W3)</f>
        <v>4537.46</v>
      </c>
      <c r="Y3" s="3">
        <f aca="true" t="shared" si="1" ref="Y3:Y39">K3-X3</f>
        <v>-5031420.03</v>
      </c>
      <c r="AA3" s="14"/>
      <c r="AB3" s="14"/>
      <c r="AC3" s="14"/>
      <c r="AD3" s="14">
        <f>(683*0+2/2*1366*0+3/3*2049)*0</f>
        <v>0</v>
      </c>
      <c r="AE3" s="14"/>
      <c r="AF3" s="76">
        <f>0.12*0+3/3*0.22*0+4/4*0.9*0+5/5*1.59*0+6/6*2.66*0+7/7*(2.3*0+8/8*1.5*0+9/9*2.29*0+10/10*2.36*0+11/11*2.34+27576.09)</f>
        <v>27578.43</v>
      </c>
      <c r="AG3" s="14"/>
      <c r="AH3" s="14">
        <f>3/3*23566.96*0+6/6*53500.14*0+9/9*66085.38+130/130*9481.65*0</f>
        <v>66085.38</v>
      </c>
      <c r="AI3" s="52">
        <f>SUM(AA3:AH3)</f>
        <v>93663.81</v>
      </c>
      <c r="AJ3" s="14">
        <f>220*0+2/2*2202*0*3/3</f>
        <v>0</v>
      </c>
      <c r="AK3" s="14"/>
      <c r="AL3" s="14"/>
      <c r="AM3" s="76">
        <f>41/41*(2/2*12904*0*3/3+7/7*1446*0+10/10*2770)</f>
        <v>2770</v>
      </c>
      <c r="AN3" s="14">
        <f>16671.5*0+2/2*23008.1*0</f>
        <v>0</v>
      </c>
      <c r="AO3" s="14"/>
      <c r="AP3" s="14"/>
      <c r="AQ3" s="14">
        <f>6/6*1446</f>
        <v>1446</v>
      </c>
      <c r="AR3" s="14"/>
      <c r="AS3" s="14"/>
      <c r="AT3" s="14">
        <f>2/2*0.46</f>
        <v>0.46</v>
      </c>
      <c r="AU3" s="14"/>
      <c r="AV3" s="52">
        <f aca="true" t="shared" si="2" ref="AV3:AV34">SUM(AJ3:AU3)</f>
        <v>4216.46</v>
      </c>
      <c r="AW3" s="3">
        <f aca="true" t="shared" si="3" ref="AW3:AW12">AI3-AV3</f>
        <v>89447.34999999999</v>
      </c>
      <c r="AX3" s="51">
        <f>C3-AA3</f>
        <v>0</v>
      </c>
      <c r="AZ3" s="51">
        <f aca="true" t="shared" si="4" ref="AZ3:AZ18">D3-AB3</f>
        <v>0</v>
      </c>
      <c r="BB3" s="51">
        <f aca="true" t="shared" si="5" ref="BB3:BB18">E3-AC3</f>
        <v>0</v>
      </c>
      <c r="BC3" s="51">
        <f aca="true" t="shared" si="6" ref="BC3:BC18">F3-AD3</f>
        <v>0</v>
      </c>
      <c r="BD3" s="51">
        <f aca="true" t="shared" si="7" ref="BD3:BD18">G3-AE3</f>
        <v>0</v>
      </c>
      <c r="BF3" s="51">
        <f aca="true" t="shared" si="8" ref="BF3:BF18">H3-AF3</f>
        <v>-5134261.9</v>
      </c>
      <c r="BH3" s="51">
        <f aca="true" t="shared" si="9" ref="BH3:BH18">I3-AG3</f>
        <v>0</v>
      </c>
      <c r="BI3" s="51">
        <f aca="true" t="shared" si="10" ref="BI3:BI18">J3-AH3</f>
        <v>13715.51999999999</v>
      </c>
      <c r="BJ3" s="52">
        <f aca="true" t="shared" si="11" ref="BJ3:BJ18">SUM(AX3,AZ3,BB3,BC3,BF3,BH3,BI3)</f>
        <v>-5120546.380000001</v>
      </c>
      <c r="BK3" s="51">
        <f aca="true" t="shared" si="12" ref="BK3:BK18">L3-AJ3</f>
        <v>0</v>
      </c>
      <c r="BM3" s="51">
        <f aca="true" t="shared" si="13" ref="BM3:BM18">M3-AK3</f>
        <v>0</v>
      </c>
      <c r="BO3" s="51">
        <f aca="true" t="shared" si="14" ref="BO3:BO18">N3-AL3</f>
        <v>0</v>
      </c>
      <c r="BP3" s="51">
        <f aca="true" t="shared" si="15" ref="BP3:BP18">O3-AM3</f>
        <v>321</v>
      </c>
      <c r="BQ3" s="60" t="s">
        <v>69</v>
      </c>
      <c r="BR3" s="51">
        <f aca="true" t="shared" si="16" ref="BR3:BR18">P3-AN3</f>
        <v>0</v>
      </c>
      <c r="BT3" s="51">
        <f aca="true" t="shared" si="17" ref="BT3:BT18">Q3-AO3</f>
        <v>0</v>
      </c>
      <c r="BU3" s="51">
        <f aca="true" t="shared" si="18" ref="BU3:BU18">R3-AP3</f>
        <v>0</v>
      </c>
      <c r="BV3" s="51">
        <f aca="true" t="shared" si="19" ref="BV3:BV18">S3-AQ3</f>
        <v>0</v>
      </c>
      <c r="BW3" s="51">
        <f aca="true" t="shared" si="20" ref="BW3:BW18">T3-AR3</f>
        <v>0</v>
      </c>
      <c r="BX3" s="51">
        <f aca="true" t="shared" si="21" ref="BX3:BX18">U3-AS3</f>
        <v>0</v>
      </c>
      <c r="BY3" s="51">
        <f aca="true" t="shared" si="22" ref="BY3:BY18">V3-AT3</f>
        <v>0</v>
      </c>
      <c r="CA3" s="51">
        <f aca="true" t="shared" si="23" ref="CA3:CA18">W3-AU3</f>
        <v>0</v>
      </c>
      <c r="CB3" s="52">
        <f>SUM(BK3,BM3,BO3,BP3,BR3,BT3,BU3,BV3,BY3,CA3)</f>
        <v>321</v>
      </c>
      <c r="CC3" s="3">
        <f aca="true" t="shared" si="24" ref="CC3:CC12">BJ3-CB3</f>
        <v>-5120867.380000001</v>
      </c>
    </row>
    <row r="4" spans="1:81" ht="12.75">
      <c r="A4" s="5" t="s">
        <v>86</v>
      </c>
      <c r="C4" s="14"/>
      <c r="D4" s="14"/>
      <c r="E4" s="14"/>
      <c r="F4" s="51">
        <f>683*0+2/2*1366*0+3/3*2049*0+4/4*2732*0+5/5*5750*0+6/6*6433*0+7/7*7116*0+8/8*(7799*0+9/9*11446*0+10/10*35714*0+11/11*52648*0+12/12*53878)+642/642*(22486*0+9/9*23086*0)</f>
        <v>53878</v>
      </c>
      <c r="G4" s="14"/>
      <c r="H4" s="101">
        <f>7/7*5840*0+11/11*28926</f>
        <v>28926</v>
      </c>
      <c r="I4" s="14"/>
      <c r="J4" s="51">
        <f>130/130*(3/3*9481.65*0+6/6*28304.79*0+9/9*55852.94*0+12/12*84393.22)</f>
        <v>84393.22</v>
      </c>
      <c r="K4" s="52">
        <f>SUM(B4:J4)</f>
        <v>167197.22</v>
      </c>
      <c r="L4" s="103">
        <f>220*0+2/2*2202*0+3/3*2909*0+4/4*561+5/5*2517+6/6*4070.58+7/7*150+8/8*463+9/9*703+10/10*533+11/11*645+12/12*2742</f>
        <v>12384.58</v>
      </c>
      <c r="M4" s="33"/>
      <c r="N4" s="33"/>
      <c r="O4" s="32">
        <f>2/2*12904*0+5/5*14798</f>
        <v>14798</v>
      </c>
      <c r="P4" s="53">
        <f>16671.5*0+2/2*23008.1*0+3/3*35103.6*0+4/4*40989.5*0+5/5*46147.3+6/6*8074.9+7/7*9878.3+8/8*2766+9/9*4064+10/10*5526.9+11/11*6573+12/12*13970.87</f>
        <v>97001.26999999999</v>
      </c>
      <c r="Q4" s="33"/>
      <c r="R4" s="33"/>
      <c r="S4" s="33"/>
      <c r="T4" s="33"/>
      <c r="U4" s="33"/>
      <c r="V4" s="33">
        <f>3/3*4377</f>
        <v>4377</v>
      </c>
      <c r="W4" s="33"/>
      <c r="X4" s="52">
        <f t="shared" si="0"/>
        <v>128560.84999999999</v>
      </c>
      <c r="Y4" s="3">
        <f t="shared" si="1"/>
        <v>38636.37000000001</v>
      </c>
      <c r="AA4" s="14"/>
      <c r="AB4" s="14"/>
      <c r="AC4" s="14"/>
      <c r="AD4" s="76">
        <f>683*0+2/2*1366*0+3/3*2049*0+4/4*2732*0+5/5*5750*0+6/6*6433*0+7/7*7116*0+8/8*(7799*0+9/9*11446*0+10/10*35714*0+11/11*52648)+642/642*(22486*0+9/9*23086*0)</f>
        <v>52648</v>
      </c>
      <c r="AE4" s="14"/>
      <c r="AF4" s="76">
        <f>7/7*5840*0+11/11*28926</f>
        <v>28926</v>
      </c>
      <c r="AG4" s="14"/>
      <c r="AH4" s="77">
        <f>130/130*(3/3*9481.65*0+6/6*28304.79*0+9/9*55852.94)</f>
        <v>55852.94</v>
      </c>
      <c r="AI4" s="52">
        <f aca="true" t="shared" si="25" ref="AI4:AI68">SUM(AA4:AH4)</f>
        <v>137426.94</v>
      </c>
      <c r="AJ4" s="93">
        <f>220*0+2/2*2202*0+3/3*2909*0+4/4*561+5/5*2517+6/6*4070.58+7/7*150+8/8*463+9/9*703+10/10*533+11/11*645</f>
        <v>9642.58</v>
      </c>
      <c r="AK4" s="33"/>
      <c r="AL4" s="33"/>
      <c r="AM4" s="32">
        <f>2/2*12904*0+5/5*14798</f>
        <v>14798</v>
      </c>
      <c r="AN4" s="78">
        <f>16671.5*0+2/2*23008.1*0+3/3*35103.6*0+4/4*40989.5*0+5/5*46147.3+6/6*8074.9+7/7*9878.3+8/8*2766+9/9*4064+10/10*5526.9+11/11*6573</f>
        <v>83030.4</v>
      </c>
      <c r="AO4" s="33"/>
      <c r="AP4" s="33"/>
      <c r="AQ4" s="33"/>
      <c r="AR4" s="33"/>
      <c r="AS4" s="33"/>
      <c r="AT4" s="33">
        <f>3/3*4377</f>
        <v>4377</v>
      </c>
      <c r="AU4" s="33"/>
      <c r="AV4" s="52">
        <f t="shared" si="2"/>
        <v>111847.98</v>
      </c>
      <c r="AW4" s="3">
        <f t="shared" si="3"/>
        <v>25578.960000000006</v>
      </c>
      <c r="AX4" s="51">
        <f aca="true" t="shared" si="26" ref="AX4:AX72">C4-AA4</f>
        <v>0</v>
      </c>
      <c r="AZ4" s="51">
        <f t="shared" si="4"/>
        <v>0</v>
      </c>
      <c r="BB4" s="51">
        <f t="shared" si="5"/>
        <v>0</v>
      </c>
      <c r="BC4" s="51">
        <f t="shared" si="6"/>
        <v>1230</v>
      </c>
      <c r="BD4" s="51">
        <f t="shared" si="7"/>
        <v>0</v>
      </c>
      <c r="BF4" s="51">
        <f t="shared" si="8"/>
        <v>0</v>
      </c>
      <c r="BH4" s="51">
        <f t="shared" si="9"/>
        <v>0</v>
      </c>
      <c r="BI4" s="51">
        <f t="shared" si="10"/>
        <v>28540.28</v>
      </c>
      <c r="BJ4" s="52">
        <f t="shared" si="11"/>
        <v>29770.28</v>
      </c>
      <c r="BK4" s="51">
        <f t="shared" si="12"/>
        <v>2742</v>
      </c>
      <c r="BM4" s="51">
        <f t="shared" si="13"/>
        <v>0</v>
      </c>
      <c r="BO4" s="51">
        <f t="shared" si="14"/>
        <v>0</v>
      </c>
      <c r="BP4" s="51">
        <f t="shared" si="15"/>
        <v>0</v>
      </c>
      <c r="BR4" s="51">
        <f t="shared" si="16"/>
        <v>13970.869999999995</v>
      </c>
      <c r="BT4" s="51">
        <f t="shared" si="17"/>
        <v>0</v>
      </c>
      <c r="BU4" s="51">
        <f t="shared" si="18"/>
        <v>0</v>
      </c>
      <c r="BV4" s="51">
        <f t="shared" si="19"/>
        <v>0</v>
      </c>
      <c r="BW4" s="51">
        <f t="shared" si="20"/>
        <v>0</v>
      </c>
      <c r="BX4" s="51">
        <f t="shared" si="21"/>
        <v>0</v>
      </c>
      <c r="BY4" s="51">
        <f t="shared" si="22"/>
        <v>0</v>
      </c>
      <c r="CA4" s="51">
        <f t="shared" si="23"/>
        <v>0</v>
      </c>
      <c r="CB4" s="52">
        <f aca="true" t="shared" si="27" ref="CB4:CB68">SUM(BK4,BM4,BO4,BP4,BR4,BT4,BU4,BV4,BY4,CA4)</f>
        <v>16712.869999999995</v>
      </c>
      <c r="CC4" s="3">
        <f t="shared" si="24"/>
        <v>13057.410000000003</v>
      </c>
    </row>
    <row r="5" spans="1:81" ht="12.75">
      <c r="A5" s="5" t="s">
        <v>19</v>
      </c>
      <c r="C5" s="14"/>
      <c r="D5" s="14"/>
      <c r="E5" s="14"/>
      <c r="F5" s="14"/>
      <c r="G5" s="14"/>
      <c r="H5" s="14"/>
      <c r="I5" s="14"/>
      <c r="J5" s="14"/>
      <c r="K5" s="2">
        <f aca="true" t="shared" si="28" ref="K5:K72">SUM(B5:J5)</f>
        <v>0</v>
      </c>
      <c r="L5" s="104">
        <f>2/2*747.53*0+3/3*1000.03*0+4/4*2259.05*0+6/6*3722.61*0+10/10*5481.15+12/12*1654</f>
        <v>7135.15</v>
      </c>
      <c r="M5" s="14"/>
      <c r="N5" s="14">
        <f>2/2*252.5*0*3/3</f>
        <v>0</v>
      </c>
      <c r="O5" s="14">
        <f>4/4*1500+11/11*6734</f>
        <v>8234</v>
      </c>
      <c r="P5" s="14">
        <f>950*0+2/2*4890</f>
        <v>4890</v>
      </c>
      <c r="Q5" s="14"/>
      <c r="R5" s="14"/>
      <c r="S5" s="14"/>
      <c r="T5" s="14"/>
      <c r="U5" s="14"/>
      <c r="V5" s="51">
        <f>2/2*-1*0+4/4*-0.8*0+6/6*-1.07+10/10*-1.23+11/11*0.2+12/12*-0.8</f>
        <v>-2.8999999999999995</v>
      </c>
      <c r="W5" s="14"/>
      <c r="X5" s="52">
        <f t="shared" si="0"/>
        <v>20256.25</v>
      </c>
      <c r="Y5" s="3">
        <f t="shared" si="1"/>
        <v>-20256.25</v>
      </c>
      <c r="AA5" s="14"/>
      <c r="AB5" s="14"/>
      <c r="AC5" s="14"/>
      <c r="AD5" s="14"/>
      <c r="AE5" s="14"/>
      <c r="AF5" s="14"/>
      <c r="AG5" s="14"/>
      <c r="AH5" s="14"/>
      <c r="AI5" s="52">
        <f t="shared" si="25"/>
        <v>0</v>
      </c>
      <c r="AJ5" s="92">
        <f>2/2*747.53*0+3/3*1000.03*0+4/4*2259.05*0+6/6*3722.61*0+10/10*5481.15</f>
        <v>5481.15</v>
      </c>
      <c r="AK5" s="14"/>
      <c r="AL5" s="14">
        <f>2/2*252.5*0*3/3</f>
        <v>0</v>
      </c>
      <c r="AM5" s="76">
        <f>4/4*1500+11/11*6734</f>
        <v>8234</v>
      </c>
      <c r="AN5" s="14">
        <f>950*0+2/2*4890</f>
        <v>4890</v>
      </c>
      <c r="AO5" s="14"/>
      <c r="AP5" s="14"/>
      <c r="AQ5" s="14"/>
      <c r="AR5" s="14"/>
      <c r="AS5" s="14"/>
      <c r="AT5" s="76">
        <f>2/2*-1*0+4/4*-0.8*0+6/6*-1.07+10/10*-1.23+11/11*0.2</f>
        <v>-2.0999999999999996</v>
      </c>
      <c r="AU5" s="14"/>
      <c r="AV5" s="52">
        <f t="shared" si="2"/>
        <v>18603.050000000003</v>
      </c>
      <c r="AW5" s="3">
        <f t="shared" si="3"/>
        <v>-18603.050000000003</v>
      </c>
      <c r="AX5" s="51">
        <f t="shared" si="26"/>
        <v>0</v>
      </c>
      <c r="AZ5" s="51">
        <f t="shared" si="4"/>
        <v>0</v>
      </c>
      <c r="BB5" s="51">
        <f t="shared" si="5"/>
        <v>0</v>
      </c>
      <c r="BC5" s="51">
        <f t="shared" si="6"/>
        <v>0</v>
      </c>
      <c r="BD5" s="51">
        <f t="shared" si="7"/>
        <v>0</v>
      </c>
      <c r="BF5" s="51">
        <f t="shared" si="8"/>
        <v>0</v>
      </c>
      <c r="BH5" s="51">
        <f t="shared" si="9"/>
        <v>0</v>
      </c>
      <c r="BI5" s="51">
        <f t="shared" si="10"/>
        <v>0</v>
      </c>
      <c r="BJ5" s="52">
        <f t="shared" si="11"/>
        <v>0</v>
      </c>
      <c r="BK5" s="51">
        <f t="shared" si="12"/>
        <v>1654</v>
      </c>
      <c r="BM5" s="51">
        <f t="shared" si="13"/>
        <v>0</v>
      </c>
      <c r="BO5" s="51">
        <f t="shared" si="14"/>
        <v>0</v>
      </c>
      <c r="BP5" s="51">
        <f t="shared" si="15"/>
        <v>0</v>
      </c>
      <c r="BR5" s="51">
        <f t="shared" si="16"/>
        <v>0</v>
      </c>
      <c r="BT5" s="51">
        <f t="shared" si="17"/>
        <v>0</v>
      </c>
      <c r="BU5" s="51">
        <f t="shared" si="18"/>
        <v>0</v>
      </c>
      <c r="BV5" s="51">
        <f t="shared" si="19"/>
        <v>0</v>
      </c>
      <c r="BW5" s="51">
        <f t="shared" si="20"/>
        <v>0</v>
      </c>
      <c r="BX5" s="51">
        <f t="shared" si="21"/>
        <v>0</v>
      </c>
      <c r="BY5" s="51">
        <f t="shared" si="22"/>
        <v>-0.7999999999999998</v>
      </c>
      <c r="CA5" s="51">
        <f t="shared" si="23"/>
        <v>0</v>
      </c>
      <c r="CB5" s="52">
        <f t="shared" si="27"/>
        <v>1653.2</v>
      </c>
      <c r="CC5" s="3">
        <f t="shared" si="24"/>
        <v>-1653.2</v>
      </c>
    </row>
    <row r="6" spans="1:81" ht="12.75">
      <c r="A6" s="24" t="s">
        <v>87</v>
      </c>
      <c r="C6" s="14"/>
      <c r="D6" s="14"/>
      <c r="E6" s="14"/>
      <c r="F6" s="14"/>
      <c r="G6" s="14"/>
      <c r="H6" s="14"/>
      <c r="I6" s="14"/>
      <c r="J6" s="14"/>
      <c r="K6" s="2">
        <f t="shared" si="28"/>
        <v>0</v>
      </c>
      <c r="L6" s="92"/>
      <c r="M6" s="14"/>
      <c r="N6" s="14"/>
      <c r="O6" s="14">
        <f>11/11*5584</f>
        <v>5584</v>
      </c>
      <c r="P6" s="14"/>
      <c r="Q6" s="14"/>
      <c r="R6" s="14"/>
      <c r="S6" s="14"/>
      <c r="T6" s="14"/>
      <c r="U6" s="14"/>
      <c r="V6" s="14"/>
      <c r="W6" s="14"/>
      <c r="X6" s="52">
        <f>SUM(L6:W6)</f>
        <v>5584</v>
      </c>
      <c r="Y6" s="3">
        <f>K6-X6</f>
        <v>-5584</v>
      </c>
      <c r="AA6" s="14"/>
      <c r="AB6" s="14"/>
      <c r="AC6" s="14"/>
      <c r="AD6" s="14"/>
      <c r="AE6" s="14"/>
      <c r="AF6" s="14"/>
      <c r="AG6" s="14"/>
      <c r="AH6" s="14"/>
      <c r="AI6" s="52">
        <f t="shared" si="25"/>
        <v>0</v>
      </c>
      <c r="AJ6" s="92"/>
      <c r="AK6" s="14"/>
      <c r="AL6" s="14"/>
      <c r="AM6" s="76">
        <f>11/11*5584</f>
        <v>5584</v>
      </c>
      <c r="AN6" s="14"/>
      <c r="AO6" s="14"/>
      <c r="AP6" s="14"/>
      <c r="AQ6" s="14"/>
      <c r="AR6" s="14"/>
      <c r="AS6" s="14"/>
      <c r="AT6" s="76"/>
      <c r="AU6" s="14"/>
      <c r="AV6" s="52">
        <f t="shared" si="2"/>
        <v>5584</v>
      </c>
      <c r="AW6" s="3">
        <f>AI6-AV6</f>
        <v>-5584</v>
      </c>
      <c r="AX6" s="51">
        <f>C6-AA6</f>
        <v>0</v>
      </c>
      <c r="AZ6" s="51">
        <f>D6-AB6</f>
        <v>0</v>
      </c>
      <c r="BB6" s="51">
        <f>E6-AC6</f>
        <v>0</v>
      </c>
      <c r="BC6" s="51">
        <f>F6-AD6</f>
        <v>0</v>
      </c>
      <c r="BD6" s="51">
        <f>G6-AE6</f>
        <v>0</v>
      </c>
      <c r="BF6" s="51">
        <f>H6-AF6</f>
        <v>0</v>
      </c>
      <c r="BH6" s="51">
        <f>I6-AG6</f>
        <v>0</v>
      </c>
      <c r="BI6" s="51">
        <f>J6-AH6</f>
        <v>0</v>
      </c>
      <c r="BJ6" s="52">
        <f t="shared" si="11"/>
        <v>0</v>
      </c>
      <c r="BK6" s="51">
        <f>L6-AJ6</f>
        <v>0</v>
      </c>
      <c r="BM6" s="51">
        <f>M6-AK6</f>
        <v>0</v>
      </c>
      <c r="BO6" s="51">
        <f>N6-AL6</f>
        <v>0</v>
      </c>
      <c r="BP6" s="51">
        <f>O6-AM6</f>
        <v>0</v>
      </c>
      <c r="BR6" s="51">
        <f>P6-AN6</f>
        <v>0</v>
      </c>
      <c r="BT6" s="51">
        <f aca="true" t="shared" si="29" ref="BT6:BY6">Q6-AO6</f>
        <v>0</v>
      </c>
      <c r="BU6" s="51">
        <f t="shared" si="29"/>
        <v>0</v>
      </c>
      <c r="BV6" s="51">
        <f t="shared" si="29"/>
        <v>0</v>
      </c>
      <c r="BW6" s="51">
        <f t="shared" si="29"/>
        <v>0</v>
      </c>
      <c r="BX6" s="51">
        <f t="shared" si="29"/>
        <v>0</v>
      </c>
      <c r="BY6" s="51">
        <f t="shared" si="29"/>
        <v>0</v>
      </c>
      <c r="CA6" s="51">
        <f>W6-AU6</f>
        <v>0</v>
      </c>
      <c r="CB6" s="52">
        <f t="shared" si="27"/>
        <v>0</v>
      </c>
      <c r="CC6" s="3">
        <f t="shared" si="24"/>
        <v>0</v>
      </c>
    </row>
    <row r="7" spans="1:81" ht="12.75">
      <c r="A7" s="5" t="s">
        <v>20</v>
      </c>
      <c r="C7" s="51">
        <f>46162.37*0+2/2*89333.61*0+3/3*132300.68*0+4/4*200091.33*0+5/5*263658.84*0+6/6*326095.98*0+8/8*381786.72*0+9/9*435004.22*0+10/10*510660.01*0+11/11*571725.96*0+12/12*630864.48</f>
        <v>630864.48</v>
      </c>
      <c r="D7" s="14"/>
      <c r="E7" s="14"/>
      <c r="F7" s="14"/>
      <c r="G7" s="14"/>
      <c r="H7" s="100">
        <f>1.5*0+2/2*(999.74+4*0+3/3*7)+4/4*2.5+5/5*2+6/6*2.5+7/7*1+8/8*1+9/9*2+10/10*1.5+11/11*2+12/12*5.5</f>
        <v>1026.74</v>
      </c>
      <c r="I7" s="14"/>
      <c r="J7" s="14"/>
      <c r="K7" s="52">
        <f t="shared" si="28"/>
        <v>631891.22</v>
      </c>
      <c r="L7" s="92"/>
      <c r="M7" s="14"/>
      <c r="N7" s="14"/>
      <c r="O7" s="14"/>
      <c r="P7" s="53">
        <f>88431.9*0+2/2*48744.48*0+3/3*72057*0+4/4*106676.9*0+5/5*139648.23*0+6/6*172092.02*0+8/8*200941.94*0+9/9*231374.84*0+10/10*263122.58*0+11/11*296649.59*0+12/12*326673.59</f>
        <v>326673.59</v>
      </c>
      <c r="Q7" s="51">
        <f>4/4*113532*0+7/7*229423*0+11/11*333005*0+12/12*429912</f>
        <v>429912</v>
      </c>
      <c r="R7" s="51">
        <f>4/4*37790*0+7/7*76380*0+11/11*110784*0+12/12*142917</f>
        <v>142917</v>
      </c>
      <c r="S7" s="33"/>
      <c r="T7" s="33"/>
      <c r="U7" s="33"/>
      <c r="V7" s="33"/>
      <c r="W7" s="33"/>
      <c r="X7" s="52">
        <f t="shared" si="0"/>
        <v>899502.5900000001</v>
      </c>
      <c r="Y7" s="3">
        <f t="shared" si="1"/>
        <v>-267611.3700000001</v>
      </c>
      <c r="AA7" s="76">
        <f>46162.37*0+2/2*89333.61*0+3/3*132300.68*0+4/4*200091.33*0+5/5*263658.84*0+6/6*326095.98*0+8/8*381786.72*0+9/9*435004.22*0+10/10*510660.01*0+11/11*571725.96</f>
        <v>571725.96</v>
      </c>
      <c r="AB7" s="14"/>
      <c r="AC7" s="14"/>
      <c r="AD7" s="14"/>
      <c r="AE7" s="14"/>
      <c r="AF7" s="76">
        <f>1.5*0+2/2*(999.74+4*0+3/3*7)+4/4*2.5+5/5*2+6/6*2.5+7/7*1+8/8*1+9/9*2+10/10*1.5+11/11*2</f>
        <v>1021.24</v>
      </c>
      <c r="AG7" s="14"/>
      <c r="AH7" s="14"/>
      <c r="AI7" s="52">
        <f t="shared" si="25"/>
        <v>572747.2</v>
      </c>
      <c r="AJ7" s="92"/>
      <c r="AK7" s="14"/>
      <c r="AL7" s="14"/>
      <c r="AM7" s="14"/>
      <c r="AN7" s="78">
        <f>88431.9*0+2/2*48744.48*0+3/3*72057*0+4/4*106676.9*0+5/5*139648.23*0+6/6*172092.02*0+8/8*200941.94*0+9/9*231374.84*0+10/10*263122.58*0+11/11*296649.59</f>
        <v>296649.59</v>
      </c>
      <c r="AO7" s="76">
        <f>4/4*113532*0+7/7*229423*0+11/11*333005</f>
        <v>333005</v>
      </c>
      <c r="AP7" s="76">
        <f>4/4*37790*0+7/7*76380*0+11/11*110784</f>
        <v>110784</v>
      </c>
      <c r="AQ7" s="33"/>
      <c r="AR7" s="33"/>
      <c r="AS7" s="33"/>
      <c r="AT7" s="33"/>
      <c r="AU7" s="33"/>
      <c r="AV7" s="52">
        <f t="shared" si="2"/>
        <v>740438.5900000001</v>
      </c>
      <c r="AW7" s="3">
        <f t="shared" si="3"/>
        <v>-167691.39000000013</v>
      </c>
      <c r="AX7" s="51">
        <f t="shared" si="26"/>
        <v>59138.52000000002</v>
      </c>
      <c r="AZ7" s="51">
        <f t="shared" si="4"/>
        <v>0</v>
      </c>
      <c r="BB7" s="51">
        <f t="shared" si="5"/>
        <v>0</v>
      </c>
      <c r="BC7" s="51">
        <f t="shared" si="6"/>
        <v>0</v>
      </c>
      <c r="BD7" s="51">
        <f t="shared" si="7"/>
        <v>0</v>
      </c>
      <c r="BF7" s="51">
        <f t="shared" si="8"/>
        <v>5.5</v>
      </c>
      <c r="BH7" s="51">
        <f t="shared" si="9"/>
        <v>0</v>
      </c>
      <c r="BI7" s="51">
        <f t="shared" si="10"/>
        <v>0</v>
      </c>
      <c r="BJ7" s="52">
        <f t="shared" si="11"/>
        <v>59144.02000000002</v>
      </c>
      <c r="BK7" s="51">
        <f t="shared" si="12"/>
        <v>0</v>
      </c>
      <c r="BM7" s="51">
        <f t="shared" si="13"/>
        <v>0</v>
      </c>
      <c r="BO7" s="51">
        <f t="shared" si="14"/>
        <v>0</v>
      </c>
      <c r="BP7" s="51">
        <f t="shared" si="15"/>
        <v>0</v>
      </c>
      <c r="BR7" s="51">
        <f t="shared" si="16"/>
        <v>30024</v>
      </c>
      <c r="BT7" s="51">
        <f t="shared" si="17"/>
        <v>96907</v>
      </c>
      <c r="BU7" s="51">
        <f t="shared" si="18"/>
        <v>32133</v>
      </c>
      <c r="BV7" s="51">
        <f t="shared" si="19"/>
        <v>0</v>
      </c>
      <c r="BW7" s="51">
        <f t="shared" si="20"/>
        <v>0</v>
      </c>
      <c r="BX7" s="51">
        <f t="shared" si="21"/>
        <v>0</v>
      </c>
      <c r="BY7" s="51">
        <f t="shared" si="22"/>
        <v>0</v>
      </c>
      <c r="CA7" s="51">
        <f t="shared" si="23"/>
        <v>0</v>
      </c>
      <c r="CB7" s="52">
        <f t="shared" si="27"/>
        <v>159064</v>
      </c>
      <c r="CC7" s="3">
        <f t="shared" si="24"/>
        <v>-99919.97999999998</v>
      </c>
    </row>
    <row r="8" spans="1:81" ht="12.75">
      <c r="A8" s="40" t="s">
        <v>62</v>
      </c>
      <c r="C8" s="14"/>
      <c r="D8" s="14"/>
      <c r="E8" s="14"/>
      <c r="F8" s="14"/>
      <c r="G8" s="14"/>
      <c r="H8" s="14"/>
      <c r="I8" s="14"/>
      <c r="J8" s="14"/>
      <c r="K8" s="2">
        <f t="shared" si="28"/>
        <v>0</v>
      </c>
      <c r="L8" s="92"/>
      <c r="M8" s="14">
        <f>(74/74)*7/7*348+(75/75)*(8/8*1600+10/10*-1600)</f>
        <v>348</v>
      </c>
      <c r="N8" s="14"/>
      <c r="O8" s="14">
        <f>(75/75)*(31/31*8371+6/6*41/41*(1269.3+7/7*669.9)+51/51*2/2*1800)+6/6*(61/61)*1269.3+(74/74)*(3520*0+7/7*7378.8*0+11/11*209733.8)</f>
        <v>223113.3</v>
      </c>
      <c r="P8" s="14"/>
      <c r="Q8" s="14"/>
      <c r="R8" s="14"/>
      <c r="S8" s="14"/>
      <c r="T8" s="14"/>
      <c r="U8" s="14"/>
      <c r="V8" s="14"/>
      <c r="W8" s="14"/>
      <c r="X8" s="52">
        <f t="shared" si="0"/>
        <v>223461.3</v>
      </c>
      <c r="Y8" s="3">
        <f t="shared" si="1"/>
        <v>-223461.3</v>
      </c>
      <c r="AA8" s="14"/>
      <c r="AB8" s="14"/>
      <c r="AC8" s="14"/>
      <c r="AD8" s="14"/>
      <c r="AE8" s="14"/>
      <c r="AF8" s="14"/>
      <c r="AG8" s="14"/>
      <c r="AH8" s="14"/>
      <c r="AI8" s="52">
        <f t="shared" si="25"/>
        <v>0</v>
      </c>
      <c r="AJ8" s="92"/>
      <c r="AK8" s="14">
        <f>(74/74)*7/7*348+(75/75)*(8/8*1600+10/10*-1600)</f>
        <v>348</v>
      </c>
      <c r="AL8" s="14"/>
      <c r="AM8" s="76">
        <f>(75/75)*(31/31*8371+6/6*41/41*(1269.3+7/7*669.9)+51/51*2/2*1800)+6/6*(61/61)*1269.3+(74/74)*(3520*0+7/7*7378.8*0+11/11*209733.8)</f>
        <v>223113.3</v>
      </c>
      <c r="AN8" s="14"/>
      <c r="AO8" s="14"/>
      <c r="AP8" s="14"/>
      <c r="AQ8" s="14"/>
      <c r="AR8" s="14"/>
      <c r="AS8" s="14"/>
      <c r="AT8" s="14"/>
      <c r="AU8" s="14"/>
      <c r="AV8" s="52">
        <f t="shared" si="2"/>
        <v>223461.3</v>
      </c>
      <c r="AW8" s="3">
        <f t="shared" si="3"/>
        <v>-223461.3</v>
      </c>
      <c r="AX8" s="51">
        <f t="shared" si="26"/>
        <v>0</v>
      </c>
      <c r="AZ8" s="51">
        <f t="shared" si="4"/>
        <v>0</v>
      </c>
      <c r="BB8" s="51">
        <f t="shared" si="5"/>
        <v>0</v>
      </c>
      <c r="BC8" s="51">
        <f t="shared" si="6"/>
        <v>0</v>
      </c>
      <c r="BD8" s="51">
        <f t="shared" si="7"/>
        <v>0</v>
      </c>
      <c r="BF8" s="51">
        <f t="shared" si="8"/>
        <v>0</v>
      </c>
      <c r="BH8" s="51">
        <f t="shared" si="9"/>
        <v>0</v>
      </c>
      <c r="BI8" s="51">
        <f t="shared" si="10"/>
        <v>0</v>
      </c>
      <c r="BJ8" s="52">
        <f t="shared" si="11"/>
        <v>0</v>
      </c>
      <c r="BK8" s="51">
        <f t="shared" si="12"/>
        <v>0</v>
      </c>
      <c r="BM8" s="66">
        <f t="shared" si="13"/>
        <v>0</v>
      </c>
      <c r="BO8" s="51">
        <f t="shared" si="14"/>
        <v>0</v>
      </c>
      <c r="BP8" s="51">
        <f t="shared" si="15"/>
        <v>0</v>
      </c>
      <c r="BR8" s="51">
        <f t="shared" si="16"/>
        <v>0</v>
      </c>
      <c r="BT8" s="51">
        <f t="shared" si="17"/>
        <v>0</v>
      </c>
      <c r="BU8" s="51">
        <f t="shared" si="18"/>
        <v>0</v>
      </c>
      <c r="BV8" s="51">
        <f t="shared" si="19"/>
        <v>0</v>
      </c>
      <c r="BW8" s="51">
        <f t="shared" si="20"/>
        <v>0</v>
      </c>
      <c r="BX8" s="51">
        <f t="shared" si="21"/>
        <v>0</v>
      </c>
      <c r="BY8" s="51">
        <f t="shared" si="22"/>
        <v>0</v>
      </c>
      <c r="CA8" s="51">
        <f t="shared" si="23"/>
        <v>0</v>
      </c>
      <c r="CB8" s="52">
        <f t="shared" si="27"/>
        <v>0</v>
      </c>
      <c r="CC8" s="3">
        <f t="shared" si="24"/>
        <v>0</v>
      </c>
    </row>
    <row r="9" spans="1:81" ht="12.75">
      <c r="A9" s="5" t="s">
        <v>53</v>
      </c>
      <c r="C9" s="14"/>
      <c r="D9" s="14"/>
      <c r="E9" s="14"/>
      <c r="F9" s="14"/>
      <c r="G9" s="14"/>
      <c r="H9" s="14"/>
      <c r="I9" s="14"/>
      <c r="J9" s="14"/>
      <c r="K9" s="2">
        <f t="shared" si="28"/>
        <v>0</v>
      </c>
      <c r="L9" s="92"/>
      <c r="M9" s="14"/>
      <c r="N9" s="14"/>
      <c r="O9" s="14">
        <f>2800*0+2/2*17200*0+3/3*29920+7/7*1200</f>
        <v>31120</v>
      </c>
      <c r="P9" s="32">
        <f>5/5*9800</f>
        <v>9800</v>
      </c>
      <c r="Q9" s="33"/>
      <c r="R9" s="33"/>
      <c r="S9" s="33"/>
      <c r="T9" s="33"/>
      <c r="U9" s="33"/>
      <c r="V9" s="33"/>
      <c r="W9" s="33"/>
      <c r="X9" s="52">
        <f t="shared" si="0"/>
        <v>40920</v>
      </c>
      <c r="Y9" s="3">
        <f t="shared" si="1"/>
        <v>-40920</v>
      </c>
      <c r="AA9" s="14"/>
      <c r="AB9" s="14"/>
      <c r="AC9" s="14"/>
      <c r="AD9" s="14"/>
      <c r="AE9" s="14"/>
      <c r="AF9" s="14"/>
      <c r="AG9" s="14"/>
      <c r="AH9" s="14"/>
      <c r="AI9" s="52">
        <f t="shared" si="25"/>
        <v>0</v>
      </c>
      <c r="AJ9" s="92"/>
      <c r="AK9" s="14"/>
      <c r="AL9" s="14"/>
      <c r="AM9" s="14">
        <f>2800*0+2/2*17200*0+3/3*29920+7/7*1200</f>
        <v>31120</v>
      </c>
      <c r="AN9" s="32">
        <f>5/5*9800</f>
        <v>9800</v>
      </c>
      <c r="AO9" s="33"/>
      <c r="AP9" s="33"/>
      <c r="AQ9" s="33"/>
      <c r="AR9" s="33"/>
      <c r="AS9" s="33"/>
      <c r="AT9" s="33"/>
      <c r="AU9" s="33"/>
      <c r="AV9" s="52">
        <f t="shared" si="2"/>
        <v>40920</v>
      </c>
      <c r="AW9" s="3">
        <f t="shared" si="3"/>
        <v>-40920</v>
      </c>
      <c r="AX9" s="51">
        <f t="shared" si="26"/>
        <v>0</v>
      </c>
      <c r="AZ9" s="51">
        <f t="shared" si="4"/>
        <v>0</v>
      </c>
      <c r="BB9" s="51">
        <f t="shared" si="5"/>
        <v>0</v>
      </c>
      <c r="BC9" s="51">
        <f t="shared" si="6"/>
        <v>0</v>
      </c>
      <c r="BD9" s="51">
        <f t="shared" si="7"/>
        <v>0</v>
      </c>
      <c r="BF9" s="51">
        <f t="shared" si="8"/>
        <v>0</v>
      </c>
      <c r="BH9" s="51">
        <f t="shared" si="9"/>
        <v>0</v>
      </c>
      <c r="BI9" s="51">
        <f t="shared" si="10"/>
        <v>0</v>
      </c>
      <c r="BJ9" s="52">
        <f t="shared" si="11"/>
        <v>0</v>
      </c>
      <c r="BK9" s="51">
        <f t="shared" si="12"/>
        <v>0</v>
      </c>
      <c r="BM9" s="51">
        <f t="shared" si="13"/>
        <v>0</v>
      </c>
      <c r="BO9" s="51">
        <f t="shared" si="14"/>
        <v>0</v>
      </c>
      <c r="BP9" s="51">
        <f t="shared" si="15"/>
        <v>0</v>
      </c>
      <c r="BR9" s="51">
        <f t="shared" si="16"/>
        <v>0</v>
      </c>
      <c r="BT9" s="51">
        <f t="shared" si="17"/>
        <v>0</v>
      </c>
      <c r="BU9" s="51">
        <f t="shared" si="18"/>
        <v>0</v>
      </c>
      <c r="BV9" s="51">
        <f t="shared" si="19"/>
        <v>0</v>
      </c>
      <c r="BW9" s="51">
        <f t="shared" si="20"/>
        <v>0</v>
      </c>
      <c r="BX9" s="51">
        <f t="shared" si="21"/>
        <v>0</v>
      </c>
      <c r="BY9" s="51">
        <f t="shared" si="22"/>
        <v>0</v>
      </c>
      <c r="CA9" s="51">
        <f t="shared" si="23"/>
        <v>0</v>
      </c>
      <c r="CB9" s="52">
        <f t="shared" si="27"/>
        <v>0</v>
      </c>
      <c r="CC9" s="3">
        <f t="shared" si="24"/>
        <v>0</v>
      </c>
    </row>
    <row r="10" spans="1:81" ht="12.75">
      <c r="A10" s="5" t="s">
        <v>32</v>
      </c>
      <c r="C10" s="14"/>
      <c r="D10" s="14"/>
      <c r="E10" s="14"/>
      <c r="F10" s="14"/>
      <c r="G10" s="14"/>
      <c r="H10" s="14"/>
      <c r="I10" s="14"/>
      <c r="J10" s="14"/>
      <c r="K10" s="2">
        <f t="shared" si="28"/>
        <v>0</v>
      </c>
      <c r="L10" s="104">
        <f>11/11*400+12/12*40</f>
        <v>440</v>
      </c>
      <c r="M10" s="14"/>
      <c r="N10" s="14"/>
      <c r="O10" s="14">
        <f>511/511*2/2*(41/41*((976+6/6*876)*0+7/7*7704*0+12/12*11725)+62/62*660)+4/4*61/61*(2979*0+7/7*6175*0+11/11*13216)+31/31*(11/11*1865*0+12/12*8591.5)</f>
        <v>34192.5</v>
      </c>
      <c r="P10" s="14">
        <v>972</v>
      </c>
      <c r="Q10" s="14"/>
      <c r="R10" s="14"/>
      <c r="S10" s="14"/>
      <c r="T10" s="14"/>
      <c r="U10" s="14"/>
      <c r="V10" s="14"/>
      <c r="W10" s="14"/>
      <c r="X10" s="52">
        <f t="shared" si="0"/>
        <v>35604.5</v>
      </c>
      <c r="Y10" s="3">
        <f t="shared" si="1"/>
        <v>-35604.5</v>
      </c>
      <c r="AA10" s="14"/>
      <c r="AB10" s="14"/>
      <c r="AC10" s="14"/>
      <c r="AD10" s="14"/>
      <c r="AE10" s="14"/>
      <c r="AF10" s="14"/>
      <c r="AG10" s="14"/>
      <c r="AH10" s="14"/>
      <c r="AI10" s="52">
        <f t="shared" si="25"/>
        <v>0</v>
      </c>
      <c r="AJ10" s="94">
        <f>11/11*400</f>
        <v>400</v>
      </c>
      <c r="AK10" s="14"/>
      <c r="AL10" s="14"/>
      <c r="AM10" s="14">
        <f>511/511*2/2*(41/41*(976+6/6*876)*0+7/7*7704+62/62*660)+4/4*61/61*(2979*0+7/7*6175*0+11/11*13216)+31/31*11/11*1865</f>
        <v>23445</v>
      </c>
      <c r="AN10" s="14">
        <v>972</v>
      </c>
      <c r="AO10" s="14"/>
      <c r="AP10" s="14"/>
      <c r="AQ10" s="14"/>
      <c r="AR10" s="14"/>
      <c r="AS10" s="14"/>
      <c r="AT10" s="14"/>
      <c r="AU10" s="14"/>
      <c r="AV10" s="52">
        <f t="shared" si="2"/>
        <v>24817</v>
      </c>
      <c r="AW10" s="3">
        <f t="shared" si="3"/>
        <v>-24817</v>
      </c>
      <c r="AX10" s="51">
        <f t="shared" si="26"/>
        <v>0</v>
      </c>
      <c r="AZ10" s="51">
        <f t="shared" si="4"/>
        <v>0</v>
      </c>
      <c r="BB10" s="51">
        <f t="shared" si="5"/>
        <v>0</v>
      </c>
      <c r="BC10" s="51">
        <f t="shared" si="6"/>
        <v>0</v>
      </c>
      <c r="BD10" s="51">
        <f t="shared" si="7"/>
        <v>0</v>
      </c>
      <c r="BF10" s="51">
        <f t="shared" si="8"/>
        <v>0</v>
      </c>
      <c r="BH10" s="51">
        <f t="shared" si="9"/>
        <v>0</v>
      </c>
      <c r="BI10" s="51">
        <f t="shared" si="10"/>
        <v>0</v>
      </c>
      <c r="BJ10" s="52">
        <f t="shared" si="11"/>
        <v>0</v>
      </c>
      <c r="BK10" s="51">
        <f t="shared" si="12"/>
        <v>40</v>
      </c>
      <c r="BM10" s="51">
        <f t="shared" si="13"/>
        <v>0</v>
      </c>
      <c r="BO10" s="51">
        <f t="shared" si="14"/>
        <v>0</v>
      </c>
      <c r="BP10" s="51">
        <f t="shared" si="15"/>
        <v>10747.5</v>
      </c>
      <c r="BR10" s="51">
        <f t="shared" si="16"/>
        <v>0</v>
      </c>
      <c r="BT10" s="51">
        <f t="shared" si="17"/>
        <v>0</v>
      </c>
      <c r="BU10" s="51">
        <f t="shared" si="18"/>
        <v>0</v>
      </c>
      <c r="BV10" s="51">
        <f t="shared" si="19"/>
        <v>0</v>
      </c>
      <c r="BW10" s="51">
        <f t="shared" si="20"/>
        <v>0</v>
      </c>
      <c r="BX10" s="51">
        <f t="shared" si="21"/>
        <v>0</v>
      </c>
      <c r="BY10" s="51">
        <f t="shared" si="22"/>
        <v>0</v>
      </c>
      <c r="CA10" s="51">
        <f t="shared" si="23"/>
        <v>0</v>
      </c>
      <c r="CB10" s="52">
        <f t="shared" si="27"/>
        <v>10787.5</v>
      </c>
      <c r="CC10" s="3">
        <f t="shared" si="24"/>
        <v>-10787.5</v>
      </c>
    </row>
    <row r="11" spans="1:81" ht="12.75">
      <c r="A11" s="34" t="s">
        <v>88</v>
      </c>
      <c r="C11" s="14"/>
      <c r="D11" s="14"/>
      <c r="E11" s="14"/>
      <c r="F11" s="14"/>
      <c r="G11" s="14"/>
      <c r="H11" s="14"/>
      <c r="I11" s="14"/>
      <c r="J11" s="14"/>
      <c r="K11" s="2">
        <f t="shared" si="28"/>
        <v>0</v>
      </c>
      <c r="L11" s="92"/>
      <c r="M11" s="14"/>
      <c r="N11" s="14"/>
      <c r="O11" s="14">
        <f>10/10*38279.8+11/11*45210</f>
        <v>83489.8</v>
      </c>
      <c r="P11" s="14"/>
      <c r="Q11" s="14"/>
      <c r="R11" s="14"/>
      <c r="S11" s="14"/>
      <c r="T11" s="14"/>
      <c r="U11" s="14"/>
      <c r="V11" s="14"/>
      <c r="W11" s="14"/>
      <c r="X11" s="52">
        <f>SUM(L11:W11)</f>
        <v>83489.8</v>
      </c>
      <c r="Y11" s="3">
        <f>K11-X11</f>
        <v>-83489.8</v>
      </c>
      <c r="AA11" s="14"/>
      <c r="AB11" s="14"/>
      <c r="AC11" s="14"/>
      <c r="AD11" s="14"/>
      <c r="AE11" s="14"/>
      <c r="AF11" s="14"/>
      <c r="AG11" s="14"/>
      <c r="AH11" s="14"/>
      <c r="AI11" s="52">
        <f t="shared" si="25"/>
        <v>0</v>
      </c>
      <c r="AJ11" s="92"/>
      <c r="AK11" s="14"/>
      <c r="AL11" s="14"/>
      <c r="AM11" s="76">
        <f>10/10*38279.8+11/11*45210</f>
        <v>83489.8</v>
      </c>
      <c r="AN11" s="14"/>
      <c r="AO11" s="14"/>
      <c r="AP11" s="14"/>
      <c r="AQ11" s="14"/>
      <c r="AR11" s="14"/>
      <c r="AS11" s="14"/>
      <c r="AT11" s="14"/>
      <c r="AU11" s="14"/>
      <c r="AV11" s="52">
        <f t="shared" si="2"/>
        <v>83489.8</v>
      </c>
      <c r="AW11" s="3">
        <f>AI11-AV11</f>
        <v>-83489.8</v>
      </c>
      <c r="AX11" s="51">
        <f>C11-AA11</f>
        <v>0</v>
      </c>
      <c r="AZ11" s="51">
        <f>D11-AB11</f>
        <v>0</v>
      </c>
      <c r="BB11" s="51">
        <f>E11-AC11</f>
        <v>0</v>
      </c>
      <c r="BC11" s="51">
        <f>F11-AD11</f>
        <v>0</v>
      </c>
      <c r="BD11" s="51">
        <f>G11-AE11</f>
        <v>0</v>
      </c>
      <c r="BF11" s="51">
        <f>H11-AF11</f>
        <v>0</v>
      </c>
      <c r="BH11" s="51">
        <f>I11-AG11</f>
        <v>0</v>
      </c>
      <c r="BI11" s="51">
        <f>J11-AH11</f>
        <v>0</v>
      </c>
      <c r="BJ11" s="52">
        <f t="shared" si="11"/>
        <v>0</v>
      </c>
      <c r="BK11" s="51">
        <f>L11-AJ11</f>
        <v>0</v>
      </c>
      <c r="BM11" s="51">
        <f>M11-AK11</f>
        <v>0</v>
      </c>
      <c r="BO11" s="51">
        <f>N11-AL11</f>
        <v>0</v>
      </c>
      <c r="BP11" s="51">
        <f>O11-AM11</f>
        <v>0</v>
      </c>
      <c r="BR11" s="51">
        <f>P11-AN11</f>
        <v>0</v>
      </c>
      <c r="BT11" s="51">
        <f aca="true" t="shared" si="30" ref="BT11:BY11">Q11-AO11</f>
        <v>0</v>
      </c>
      <c r="BU11" s="51">
        <f t="shared" si="30"/>
        <v>0</v>
      </c>
      <c r="BV11" s="51">
        <f t="shared" si="30"/>
        <v>0</v>
      </c>
      <c r="BW11" s="51">
        <f t="shared" si="30"/>
        <v>0</v>
      </c>
      <c r="BX11" s="51">
        <f t="shared" si="30"/>
        <v>0</v>
      </c>
      <c r="BY11" s="51">
        <f t="shared" si="30"/>
        <v>0</v>
      </c>
      <c r="CA11" s="51">
        <f>W11-AU11</f>
        <v>0</v>
      </c>
      <c r="CB11" s="52">
        <f t="shared" si="27"/>
        <v>0</v>
      </c>
      <c r="CC11" s="3">
        <f>BJ11-CB11</f>
        <v>0</v>
      </c>
    </row>
    <row r="12" spans="1:81" ht="12.75">
      <c r="A12" s="25" t="s">
        <v>67</v>
      </c>
      <c r="C12" s="14"/>
      <c r="D12" s="14"/>
      <c r="E12" s="14"/>
      <c r="F12" s="14"/>
      <c r="G12" s="14"/>
      <c r="H12" s="14"/>
      <c r="I12" s="14"/>
      <c r="J12" s="14"/>
      <c r="K12" s="2">
        <f>SUM(B12:J12)</f>
        <v>0</v>
      </c>
      <c r="L12" s="104">
        <f>10611063/10611063*(302*0+10/10*2358)</f>
        <v>2358</v>
      </c>
      <c r="M12" s="14">
        <f>9/9*1063/1063*157</f>
        <v>157</v>
      </c>
      <c r="N12" s="14"/>
      <c r="O12" s="51">
        <f>10611062/10611062*(3/3*4620+6/6*41/41*1152)+7/7*1063/1063*((41/41*709.5+8/8*61/61*33150+12/12*31/31*59987)+1062/1062*(1333.2*0+12/12*2726.2)+1061/1061*(8/8*1430*0+10/10*28714))+8/8*(1061/1061*1082/1082)*55536.72</f>
        <v>186595.41999999998</v>
      </c>
      <c r="P12" s="51">
        <f>8/8*1063/1063*(543*0+12/12*1743)+12/12*(1061/1061*1200+1062/1062*1200)</f>
        <v>4143</v>
      </c>
      <c r="Q12" s="14"/>
      <c r="R12" s="14"/>
      <c r="S12" s="14"/>
      <c r="T12" s="14"/>
      <c r="U12" s="14"/>
      <c r="V12" s="14"/>
      <c r="W12" s="14"/>
      <c r="X12" s="52">
        <f t="shared" si="0"/>
        <v>193253.41999999998</v>
      </c>
      <c r="Y12" s="3">
        <f t="shared" si="1"/>
        <v>-193253.41999999998</v>
      </c>
      <c r="AA12" s="14"/>
      <c r="AB12" s="14"/>
      <c r="AC12" s="14"/>
      <c r="AD12" s="14"/>
      <c r="AE12" s="14"/>
      <c r="AF12" s="14"/>
      <c r="AG12" s="14"/>
      <c r="AH12" s="14"/>
      <c r="AI12" s="52">
        <f t="shared" si="25"/>
        <v>0</v>
      </c>
      <c r="AJ12" s="92">
        <f>10611063/10611063*302*0+10/10*2358</f>
        <v>2358</v>
      </c>
      <c r="AK12" s="76">
        <f>9/9*1063/1063*157</f>
        <v>157</v>
      </c>
      <c r="AL12" s="14"/>
      <c r="AM12" s="14">
        <f>10611062/10611062*(3/3*4620+6/6*41/41*1152)+7/7*1063/1063*((41/41*709.5+8/8*61/61*33150)+1062/1062*1333.2+1061/1061*(8/8*1430*0+10/10*28714))+8/8*(1061/1061*1082/1082)*55536.72</f>
        <v>125215.42</v>
      </c>
      <c r="AN12" s="76">
        <f>8/8*1063/1063*543</f>
        <v>543</v>
      </c>
      <c r="AO12" s="14"/>
      <c r="AP12" s="14"/>
      <c r="AQ12" s="14"/>
      <c r="AR12" s="14"/>
      <c r="AS12" s="14"/>
      <c r="AT12" s="14"/>
      <c r="AU12" s="14"/>
      <c r="AV12" s="52">
        <f t="shared" si="2"/>
        <v>128273.42</v>
      </c>
      <c r="AW12" s="3">
        <f t="shared" si="3"/>
        <v>-128273.42</v>
      </c>
      <c r="AX12" s="51">
        <f t="shared" si="26"/>
        <v>0</v>
      </c>
      <c r="AZ12" s="51">
        <f t="shared" si="4"/>
        <v>0</v>
      </c>
      <c r="BB12" s="51">
        <f t="shared" si="5"/>
        <v>0</v>
      </c>
      <c r="BC12" s="51">
        <f t="shared" si="6"/>
        <v>0</v>
      </c>
      <c r="BD12" s="51">
        <f t="shared" si="7"/>
        <v>0</v>
      </c>
      <c r="BF12" s="51">
        <f t="shared" si="8"/>
        <v>0</v>
      </c>
      <c r="BH12" s="51">
        <f t="shared" si="9"/>
        <v>0</v>
      </c>
      <c r="BI12" s="51">
        <f t="shared" si="10"/>
        <v>0</v>
      </c>
      <c r="BJ12" s="52">
        <f t="shared" si="11"/>
        <v>0</v>
      </c>
      <c r="BK12" s="51">
        <f t="shared" si="12"/>
        <v>0</v>
      </c>
      <c r="BM12" s="51">
        <f t="shared" si="13"/>
        <v>0</v>
      </c>
      <c r="BO12" s="51">
        <f t="shared" si="14"/>
        <v>0</v>
      </c>
      <c r="BP12" s="51">
        <f t="shared" si="15"/>
        <v>61379.999999999985</v>
      </c>
      <c r="BR12" s="51">
        <f t="shared" si="16"/>
        <v>3600</v>
      </c>
      <c r="BT12" s="51">
        <f t="shared" si="17"/>
        <v>0</v>
      </c>
      <c r="BU12" s="51">
        <f t="shared" si="18"/>
        <v>0</v>
      </c>
      <c r="BV12" s="51">
        <f t="shared" si="19"/>
        <v>0</v>
      </c>
      <c r="BW12" s="51">
        <f t="shared" si="20"/>
        <v>0</v>
      </c>
      <c r="BX12" s="51">
        <f t="shared" si="21"/>
        <v>0</v>
      </c>
      <c r="BY12" s="51">
        <f t="shared" si="22"/>
        <v>0</v>
      </c>
      <c r="CA12" s="51">
        <f t="shared" si="23"/>
        <v>0</v>
      </c>
      <c r="CB12" s="52">
        <f t="shared" si="27"/>
        <v>64979.999999999985</v>
      </c>
      <c r="CC12" s="3">
        <f t="shared" si="24"/>
        <v>-64979.999999999985</v>
      </c>
    </row>
    <row r="13" spans="1:81" ht="12.75">
      <c r="A13" s="41" t="s">
        <v>89</v>
      </c>
      <c r="C13" s="14"/>
      <c r="D13" s="14"/>
      <c r="E13" s="14"/>
      <c r="F13" s="14"/>
      <c r="G13" s="14"/>
      <c r="H13" s="14"/>
      <c r="I13" s="14"/>
      <c r="J13" s="14"/>
      <c r="K13" s="2">
        <f>SUM(B13:J13)</f>
        <v>0</v>
      </c>
      <c r="L13" s="103">
        <f>5/5*1066/1066*1020+11/11*(1067/1067*(31*0+12/12*34.1)+1068/1068*(703.6*0+12/12*773.96))</f>
        <v>1828.06</v>
      </c>
      <c r="M13" s="33"/>
      <c r="N13" s="33"/>
      <c r="O13" s="51">
        <f>1068/1068*(6/6*7674+11/11*(1050*0+12/12*1155))+1067/1067*(9/9*1134+11/11*(700*0+12/12*770))+11/11*(1065/1065*(700*0+12/12*770)+1066/1066*(1455*0+12/12*1525))</f>
        <v>13028</v>
      </c>
      <c r="P13" s="51">
        <f>12/12*(1065/1065*1200+1066/1066*1200+1067/1067*1200+1068/1068*1200)</f>
        <v>4800</v>
      </c>
      <c r="Q13" s="33"/>
      <c r="R13" s="33"/>
      <c r="S13" s="33"/>
      <c r="T13" s="33"/>
      <c r="U13" s="33"/>
      <c r="V13" s="33"/>
      <c r="W13" s="33"/>
      <c r="X13" s="52">
        <f>SUM(L13:W13)</f>
        <v>19656.059999999998</v>
      </c>
      <c r="Y13" s="3">
        <f>K13-X13</f>
        <v>-19656.059999999998</v>
      </c>
      <c r="AA13" s="14"/>
      <c r="AB13" s="14"/>
      <c r="AC13" s="14"/>
      <c r="AD13" s="14"/>
      <c r="AE13" s="14"/>
      <c r="AF13" s="14"/>
      <c r="AG13" s="14"/>
      <c r="AH13" s="14"/>
      <c r="AI13" s="52">
        <f t="shared" si="25"/>
        <v>0</v>
      </c>
      <c r="AJ13" s="93">
        <f>5/5*1066/1066*1020+11/11*(1067/1067*31+1068/1068*703.6)</f>
        <v>1754.6</v>
      </c>
      <c r="AK13" s="33"/>
      <c r="AL13" s="33"/>
      <c r="AM13" s="76">
        <f>1068/1068*(6/6*7674+11/11*1050)+1067/1067*(9/9*1134+11/11*700)+11/11*(1065/1065*700+1066/1066*1455)</f>
        <v>12713</v>
      </c>
      <c r="AN13" s="33"/>
      <c r="AO13" s="33"/>
      <c r="AP13" s="33"/>
      <c r="AQ13" s="33"/>
      <c r="AR13" s="33"/>
      <c r="AS13" s="33"/>
      <c r="AT13" s="33"/>
      <c r="AU13" s="33"/>
      <c r="AV13" s="52">
        <f t="shared" si="2"/>
        <v>14467.6</v>
      </c>
      <c r="AW13" s="3">
        <f aca="true" t="shared" si="31" ref="AW13:AW25">AI13-AV13</f>
        <v>-14467.6</v>
      </c>
      <c r="AX13" s="51">
        <f t="shared" si="26"/>
        <v>0</v>
      </c>
      <c r="AZ13" s="51">
        <f t="shared" si="4"/>
        <v>0</v>
      </c>
      <c r="BB13" s="51">
        <f t="shared" si="5"/>
        <v>0</v>
      </c>
      <c r="BC13" s="51">
        <f t="shared" si="6"/>
        <v>0</v>
      </c>
      <c r="BD13" s="51">
        <f t="shared" si="7"/>
        <v>0</v>
      </c>
      <c r="BF13" s="51">
        <f t="shared" si="8"/>
        <v>0</v>
      </c>
      <c r="BH13" s="51">
        <f t="shared" si="9"/>
        <v>0</v>
      </c>
      <c r="BI13" s="51">
        <f t="shared" si="10"/>
        <v>0</v>
      </c>
      <c r="BJ13" s="52">
        <f t="shared" si="11"/>
        <v>0</v>
      </c>
      <c r="BK13" s="51">
        <f t="shared" si="12"/>
        <v>73.46000000000004</v>
      </c>
      <c r="BM13" s="51">
        <f t="shared" si="13"/>
        <v>0</v>
      </c>
      <c r="BO13" s="51">
        <f t="shared" si="14"/>
        <v>0</v>
      </c>
      <c r="BP13" s="51">
        <f t="shared" si="15"/>
        <v>315</v>
      </c>
      <c r="BR13" s="51">
        <f t="shared" si="16"/>
        <v>4800</v>
      </c>
      <c r="BT13" s="51">
        <f t="shared" si="17"/>
        <v>0</v>
      </c>
      <c r="BU13" s="51">
        <f t="shared" si="18"/>
        <v>0</v>
      </c>
      <c r="BV13" s="51">
        <f t="shared" si="19"/>
        <v>0</v>
      </c>
      <c r="BW13" s="51">
        <f t="shared" si="20"/>
        <v>0</v>
      </c>
      <c r="BX13" s="51">
        <f t="shared" si="21"/>
        <v>0</v>
      </c>
      <c r="BY13" s="51">
        <f t="shared" si="22"/>
        <v>0</v>
      </c>
      <c r="CA13" s="51">
        <f t="shared" si="23"/>
        <v>0</v>
      </c>
      <c r="CB13" s="52">
        <f t="shared" si="27"/>
        <v>5188.46</v>
      </c>
      <c r="CC13" s="3">
        <f aca="true" t="shared" si="32" ref="CC13:CC25">BJ13-CB13</f>
        <v>-5188.46</v>
      </c>
    </row>
    <row r="14" spans="1:81" ht="12.75">
      <c r="A14" s="5" t="s">
        <v>90</v>
      </c>
      <c r="C14" s="14"/>
      <c r="D14" s="14"/>
      <c r="E14" s="14"/>
      <c r="F14" s="14"/>
      <c r="G14" s="14"/>
      <c r="H14" s="14"/>
      <c r="I14" s="14"/>
      <c r="J14" s="14"/>
      <c r="K14" s="2">
        <f t="shared" si="28"/>
        <v>0</v>
      </c>
      <c r="L14" s="104">
        <f>1070/1070*(9/9*91*0+11/11*211.7*0+12/12*223.77)</f>
        <v>223.77</v>
      </c>
      <c r="M14" s="14">
        <f>1070/1070*(3/3*500+7/7*-223)</f>
        <v>277</v>
      </c>
      <c r="N14" s="14"/>
      <c r="O14" s="51">
        <f>1069/1069*(3/3*1099*0+10/10*7757*0+9916*0+12/12*9968.5)+1070/1070*(6/6*10664+10/10*1120+11/11*(1400*0+12/12*1540))+1071/1071*(11/11*1050*0+12/12*1155)</f>
        <v>24447.5</v>
      </c>
      <c r="P14" s="51">
        <f>12/12*(1069/1069*1200+1070/1070*1200+1071/1071*1200)</f>
        <v>3600</v>
      </c>
      <c r="Q14" s="14"/>
      <c r="R14" s="14"/>
      <c r="S14" s="14"/>
      <c r="T14" s="14"/>
      <c r="U14" s="14"/>
      <c r="V14" s="14"/>
      <c r="W14" s="14"/>
      <c r="X14" s="52">
        <f t="shared" si="0"/>
        <v>28548.27</v>
      </c>
      <c r="Y14" s="3">
        <f t="shared" si="1"/>
        <v>-28548.27</v>
      </c>
      <c r="AA14" s="14"/>
      <c r="AB14" s="14"/>
      <c r="AC14" s="14"/>
      <c r="AD14" s="14"/>
      <c r="AE14" s="14"/>
      <c r="AF14" s="14"/>
      <c r="AG14" s="14"/>
      <c r="AH14" s="14"/>
      <c r="AI14" s="52">
        <f t="shared" si="25"/>
        <v>0</v>
      </c>
      <c r="AJ14" s="94">
        <f>1070/1070*(9/9*91*0+11/11*211.7)</f>
        <v>211.7</v>
      </c>
      <c r="AK14" s="14">
        <f>1070/1070*(3/3*500+7/7*-223)</f>
        <v>277</v>
      </c>
      <c r="AL14" s="14"/>
      <c r="AM14" s="76">
        <f>1069/1069*(3/3*1099*0+10/10*7757*0+9916)+1070/1070*(6/6*10664+10/10*1120+11/11*1400)+1071/1071*11/11*1050</f>
        <v>24150</v>
      </c>
      <c r="AN14" s="14"/>
      <c r="AO14" s="14"/>
      <c r="AP14" s="14"/>
      <c r="AQ14" s="14"/>
      <c r="AR14" s="14"/>
      <c r="AS14" s="14"/>
      <c r="AT14" s="14"/>
      <c r="AU14" s="14"/>
      <c r="AV14" s="52">
        <f t="shared" si="2"/>
        <v>24638.7</v>
      </c>
      <c r="AW14" s="3">
        <f t="shared" si="31"/>
        <v>-24638.7</v>
      </c>
      <c r="AX14" s="51">
        <f t="shared" si="26"/>
        <v>0</v>
      </c>
      <c r="AZ14" s="51">
        <f t="shared" si="4"/>
        <v>0</v>
      </c>
      <c r="BB14" s="51">
        <f t="shared" si="5"/>
        <v>0</v>
      </c>
      <c r="BC14" s="51">
        <f t="shared" si="6"/>
        <v>0</v>
      </c>
      <c r="BD14" s="51">
        <f t="shared" si="7"/>
        <v>0</v>
      </c>
      <c r="BF14" s="51">
        <f t="shared" si="8"/>
        <v>0</v>
      </c>
      <c r="BH14" s="51">
        <f t="shared" si="9"/>
        <v>0</v>
      </c>
      <c r="BI14" s="51">
        <f t="shared" si="10"/>
        <v>0</v>
      </c>
      <c r="BJ14" s="52">
        <f t="shared" si="11"/>
        <v>0</v>
      </c>
      <c r="BK14" s="51">
        <f t="shared" si="12"/>
        <v>12.070000000000022</v>
      </c>
      <c r="BM14" s="51">
        <f t="shared" si="13"/>
        <v>0</v>
      </c>
      <c r="BO14" s="51">
        <f t="shared" si="14"/>
        <v>0</v>
      </c>
      <c r="BP14" s="51">
        <f t="shared" si="15"/>
        <v>297.5</v>
      </c>
      <c r="BR14" s="51">
        <f t="shared" si="16"/>
        <v>3600</v>
      </c>
      <c r="BT14" s="51">
        <f t="shared" si="17"/>
        <v>0</v>
      </c>
      <c r="BU14" s="51">
        <f t="shared" si="18"/>
        <v>0</v>
      </c>
      <c r="BV14" s="51">
        <f t="shared" si="19"/>
        <v>0</v>
      </c>
      <c r="BW14" s="51">
        <f t="shared" si="20"/>
        <v>0</v>
      </c>
      <c r="BX14" s="51">
        <f t="shared" si="21"/>
        <v>0</v>
      </c>
      <c r="BY14" s="51">
        <f t="shared" si="22"/>
        <v>0</v>
      </c>
      <c r="CA14" s="51">
        <f t="shared" si="23"/>
        <v>0</v>
      </c>
      <c r="CB14" s="52">
        <f t="shared" si="27"/>
        <v>3909.57</v>
      </c>
      <c r="CC14" s="3">
        <f t="shared" si="32"/>
        <v>-3909.57</v>
      </c>
    </row>
    <row r="15" spans="1:81" ht="12.75">
      <c r="A15" s="5" t="s">
        <v>78</v>
      </c>
      <c r="C15" s="14"/>
      <c r="D15" s="14"/>
      <c r="E15" s="14"/>
      <c r="F15" s="14"/>
      <c r="G15" s="14"/>
      <c r="H15" s="14"/>
      <c r="I15" s="14"/>
      <c r="J15" s="14"/>
      <c r="K15" s="2">
        <f t="shared" si="28"/>
        <v>0</v>
      </c>
      <c r="L15" s="104">
        <f>11/11*(74/74*(680.6*0+12/12*748.66)+75/75*(52.2*0+12/12*57.42))</f>
        <v>806.0799999999999</v>
      </c>
      <c r="M15" s="14"/>
      <c r="N15" s="14"/>
      <c r="O15" s="51">
        <f>1075/1075*(2/2*9258*0+(9/9*12975+11/11*8550)*0+12/12*22380)+(1074/1074*(9/9*9950*0+11/11*(11000*0+12/12*11105))+10741075/10741075*9/9*10320)</f>
        <v>43805</v>
      </c>
      <c r="P15" s="51">
        <f>2/2*1075/1075*2015*0*12/12+12/12*(1074/1074*1200+1075/1075*7415)</f>
        <v>8615</v>
      </c>
      <c r="Q15" s="14"/>
      <c r="R15" s="14"/>
      <c r="S15" s="14"/>
      <c r="T15" s="14"/>
      <c r="U15" s="14"/>
      <c r="V15" s="14"/>
      <c r="W15" s="14"/>
      <c r="X15" s="52">
        <f t="shared" si="0"/>
        <v>53226.08</v>
      </c>
      <c r="Y15" s="3">
        <f t="shared" si="1"/>
        <v>-53226.08</v>
      </c>
      <c r="AA15" s="14"/>
      <c r="AB15" s="14"/>
      <c r="AC15" s="14"/>
      <c r="AD15" s="14"/>
      <c r="AE15" s="14"/>
      <c r="AF15" s="14"/>
      <c r="AG15" s="14"/>
      <c r="AH15" s="14"/>
      <c r="AI15" s="52">
        <f t="shared" si="25"/>
        <v>0</v>
      </c>
      <c r="AJ15" s="94">
        <f>11/11*(74/74*680.6+75/75*52.2)</f>
        <v>732.8000000000001</v>
      </c>
      <c r="AK15" s="14"/>
      <c r="AL15" s="14"/>
      <c r="AM15" s="76">
        <f>1075/1075*(2/2*9258*0+9/9*12975+11/11*8550)+1074/1074*(9/9*9950*0+11/11*11000)+10741075/10741075*9/9*10320</f>
        <v>42845</v>
      </c>
      <c r="AN15" s="76">
        <f>2/2*2015</f>
        <v>2015</v>
      </c>
      <c r="AO15" s="14"/>
      <c r="AP15" s="14"/>
      <c r="AQ15" s="14"/>
      <c r="AR15" s="14"/>
      <c r="AS15" s="14"/>
      <c r="AT15" s="14"/>
      <c r="AU15" s="14"/>
      <c r="AV15" s="52">
        <f t="shared" si="2"/>
        <v>45592.8</v>
      </c>
      <c r="AW15" s="3">
        <f t="shared" si="31"/>
        <v>-45592.8</v>
      </c>
      <c r="AX15" s="51">
        <f t="shared" si="26"/>
        <v>0</v>
      </c>
      <c r="AZ15" s="51">
        <f t="shared" si="4"/>
        <v>0</v>
      </c>
      <c r="BB15" s="51">
        <f t="shared" si="5"/>
        <v>0</v>
      </c>
      <c r="BC15" s="51">
        <f t="shared" si="6"/>
        <v>0</v>
      </c>
      <c r="BD15" s="51">
        <f t="shared" si="7"/>
        <v>0</v>
      </c>
      <c r="BF15" s="51">
        <f t="shared" si="8"/>
        <v>0</v>
      </c>
      <c r="BH15" s="51">
        <f t="shared" si="9"/>
        <v>0</v>
      </c>
      <c r="BI15" s="51">
        <f t="shared" si="10"/>
        <v>0</v>
      </c>
      <c r="BJ15" s="52">
        <f t="shared" si="11"/>
        <v>0</v>
      </c>
      <c r="BK15" s="51">
        <f t="shared" si="12"/>
        <v>73.27999999999986</v>
      </c>
      <c r="BM15" s="51">
        <f t="shared" si="13"/>
        <v>0</v>
      </c>
      <c r="BO15" s="51">
        <f t="shared" si="14"/>
        <v>0</v>
      </c>
      <c r="BP15" s="51">
        <f t="shared" si="15"/>
        <v>960</v>
      </c>
      <c r="BR15" s="51">
        <f t="shared" si="16"/>
        <v>6600</v>
      </c>
      <c r="BT15" s="51">
        <f t="shared" si="17"/>
        <v>0</v>
      </c>
      <c r="BU15" s="51">
        <f t="shared" si="18"/>
        <v>0</v>
      </c>
      <c r="BV15" s="51">
        <f t="shared" si="19"/>
        <v>0</v>
      </c>
      <c r="BW15" s="51">
        <f t="shared" si="20"/>
        <v>0</v>
      </c>
      <c r="BX15" s="51">
        <f t="shared" si="21"/>
        <v>0</v>
      </c>
      <c r="BY15" s="51">
        <f t="shared" si="22"/>
        <v>0</v>
      </c>
      <c r="CA15" s="51">
        <f t="shared" si="23"/>
        <v>0</v>
      </c>
      <c r="CB15" s="52">
        <f t="shared" si="27"/>
        <v>7633.28</v>
      </c>
      <c r="CC15" s="3">
        <f t="shared" si="32"/>
        <v>-7633.28</v>
      </c>
    </row>
    <row r="16" spans="1:81" ht="12.75">
      <c r="A16" s="5" t="s">
        <v>43</v>
      </c>
      <c r="C16" s="14"/>
      <c r="D16" s="14">
        <f>8/8*1000</f>
        <v>1000</v>
      </c>
      <c r="E16" s="14"/>
      <c r="F16" s="14"/>
      <c r="G16" s="14"/>
      <c r="H16" s="14"/>
      <c r="I16" s="14"/>
      <c r="J16" s="14"/>
      <c r="K16" s="52">
        <f t="shared" si="28"/>
        <v>1000</v>
      </c>
      <c r="L16" s="92">
        <f>8/8*7063</f>
        <v>7063</v>
      </c>
      <c r="M16" s="14"/>
      <c r="N16" s="14"/>
      <c r="O16" s="51">
        <f>3/3*3737*0+(10/10*4373+11/11*1050)*0+12/12*5528</f>
        <v>5528</v>
      </c>
      <c r="P16" s="51">
        <f>12/12*1200</f>
        <v>1200</v>
      </c>
      <c r="Q16" s="14"/>
      <c r="R16" s="14"/>
      <c r="S16" s="14"/>
      <c r="T16" s="14"/>
      <c r="U16" s="14"/>
      <c r="V16" s="14"/>
      <c r="W16" s="14"/>
      <c r="X16" s="52">
        <f t="shared" si="0"/>
        <v>13791</v>
      </c>
      <c r="Y16" s="3">
        <f t="shared" si="1"/>
        <v>-12791</v>
      </c>
      <c r="AA16" s="14"/>
      <c r="AB16" s="14">
        <f>8/8*1000</f>
        <v>1000</v>
      </c>
      <c r="AC16" s="14"/>
      <c r="AD16" s="14"/>
      <c r="AE16" s="14"/>
      <c r="AF16" s="14"/>
      <c r="AG16" s="14"/>
      <c r="AH16" s="14"/>
      <c r="AI16" s="52">
        <f t="shared" si="25"/>
        <v>1000</v>
      </c>
      <c r="AJ16" s="94">
        <f>8/8*7063</f>
        <v>7063</v>
      </c>
      <c r="AK16" s="14"/>
      <c r="AL16" s="14"/>
      <c r="AM16" s="76">
        <f>3/3*3737*0+10/10*4373+11/11*1050</f>
        <v>5423</v>
      </c>
      <c r="AN16" s="14"/>
      <c r="AO16" s="14"/>
      <c r="AP16" s="14"/>
      <c r="AQ16" s="14"/>
      <c r="AR16" s="14"/>
      <c r="AS16" s="14"/>
      <c r="AT16" s="14"/>
      <c r="AU16" s="14"/>
      <c r="AV16" s="52">
        <f t="shared" si="2"/>
        <v>12486</v>
      </c>
      <c r="AW16" s="3">
        <f t="shared" si="31"/>
        <v>-11486</v>
      </c>
      <c r="AX16" s="51">
        <f t="shared" si="26"/>
        <v>0</v>
      </c>
      <c r="AZ16" s="51">
        <f t="shared" si="4"/>
        <v>0</v>
      </c>
      <c r="BB16" s="51">
        <f t="shared" si="5"/>
        <v>0</v>
      </c>
      <c r="BC16" s="51">
        <f t="shared" si="6"/>
        <v>0</v>
      </c>
      <c r="BD16" s="51">
        <f t="shared" si="7"/>
        <v>0</v>
      </c>
      <c r="BF16" s="51">
        <f t="shared" si="8"/>
        <v>0</v>
      </c>
      <c r="BH16" s="51">
        <f t="shared" si="9"/>
        <v>0</v>
      </c>
      <c r="BI16" s="51">
        <f t="shared" si="10"/>
        <v>0</v>
      </c>
      <c r="BJ16" s="52">
        <f t="shared" si="11"/>
        <v>0</v>
      </c>
      <c r="BK16" s="51">
        <f t="shared" si="12"/>
        <v>0</v>
      </c>
      <c r="BM16" s="51">
        <f t="shared" si="13"/>
        <v>0</v>
      </c>
      <c r="BO16" s="51">
        <f t="shared" si="14"/>
        <v>0</v>
      </c>
      <c r="BP16" s="51">
        <f t="shared" si="15"/>
        <v>105</v>
      </c>
      <c r="BR16" s="51">
        <f t="shared" si="16"/>
        <v>1200</v>
      </c>
      <c r="BT16" s="51">
        <f t="shared" si="17"/>
        <v>0</v>
      </c>
      <c r="BU16" s="51">
        <f t="shared" si="18"/>
        <v>0</v>
      </c>
      <c r="BV16" s="51">
        <f t="shared" si="19"/>
        <v>0</v>
      </c>
      <c r="BW16" s="51">
        <f t="shared" si="20"/>
        <v>0</v>
      </c>
      <c r="BX16" s="51">
        <f t="shared" si="21"/>
        <v>0</v>
      </c>
      <c r="BY16" s="51">
        <f t="shared" si="22"/>
        <v>0</v>
      </c>
      <c r="CA16" s="51">
        <f t="shared" si="23"/>
        <v>0</v>
      </c>
      <c r="CB16" s="52">
        <f t="shared" si="27"/>
        <v>1305</v>
      </c>
      <c r="CC16" s="3">
        <f t="shared" si="32"/>
        <v>-1305</v>
      </c>
    </row>
    <row r="17" spans="1:81" ht="12.75">
      <c r="A17" s="24" t="s">
        <v>51</v>
      </c>
      <c r="C17" s="14"/>
      <c r="D17" s="14"/>
      <c r="E17" s="14"/>
      <c r="F17" s="14"/>
      <c r="G17" s="14"/>
      <c r="H17" s="14"/>
      <c r="I17" s="14"/>
      <c r="J17" s="14"/>
      <c r="K17" s="2">
        <f t="shared" si="28"/>
        <v>0</v>
      </c>
      <c r="L17" s="92">
        <f>(4/4*1213+9/9*50)*0+10/10*18669</f>
        <v>18669</v>
      </c>
      <c r="M17" s="14"/>
      <c r="N17" s="14"/>
      <c r="O17" s="51">
        <f>11/11*14007*0+12/12*14042</f>
        <v>14042</v>
      </c>
      <c r="P17" s="51">
        <f>10/10*2640+12/12*1200</f>
        <v>3840</v>
      </c>
      <c r="Q17" s="14"/>
      <c r="R17" s="14"/>
      <c r="S17" s="14"/>
      <c r="T17" s="14"/>
      <c r="U17" s="14"/>
      <c r="V17" s="14"/>
      <c r="W17" s="14"/>
      <c r="X17" s="52">
        <f>SUM(L17:W17)</f>
        <v>36551</v>
      </c>
      <c r="Y17" s="3">
        <f>K17-X17</f>
        <v>-36551</v>
      </c>
      <c r="AA17" s="14"/>
      <c r="AB17" s="14"/>
      <c r="AC17" s="14"/>
      <c r="AD17" s="14"/>
      <c r="AE17" s="14"/>
      <c r="AF17" s="14"/>
      <c r="AG17" s="14"/>
      <c r="AH17" s="14"/>
      <c r="AI17" s="52">
        <f t="shared" si="25"/>
        <v>0</v>
      </c>
      <c r="AJ17" s="92">
        <f>(4/4*1213+9/9*50)*0+10/10*18669</f>
        <v>18669</v>
      </c>
      <c r="AK17" s="14"/>
      <c r="AL17" s="14"/>
      <c r="AM17" s="76">
        <f>11/11*14007</f>
        <v>14007</v>
      </c>
      <c r="AN17" s="14">
        <f>10/10*2640</f>
        <v>2640</v>
      </c>
      <c r="AO17" s="14"/>
      <c r="AP17" s="14"/>
      <c r="AQ17" s="14"/>
      <c r="AR17" s="14"/>
      <c r="AS17" s="14"/>
      <c r="AT17" s="14"/>
      <c r="AU17" s="14"/>
      <c r="AV17" s="52">
        <f t="shared" si="2"/>
        <v>35316</v>
      </c>
      <c r="AW17" s="3">
        <f t="shared" si="31"/>
        <v>-35316</v>
      </c>
      <c r="AX17" s="51">
        <f t="shared" si="26"/>
        <v>0</v>
      </c>
      <c r="AZ17" s="51">
        <f t="shared" si="4"/>
        <v>0</v>
      </c>
      <c r="BB17" s="51">
        <f t="shared" si="5"/>
        <v>0</v>
      </c>
      <c r="BC17" s="51">
        <f t="shared" si="6"/>
        <v>0</v>
      </c>
      <c r="BD17" s="51">
        <f t="shared" si="7"/>
        <v>0</v>
      </c>
      <c r="BF17" s="51">
        <f t="shared" si="8"/>
        <v>0</v>
      </c>
      <c r="BH17" s="51">
        <f t="shared" si="9"/>
        <v>0</v>
      </c>
      <c r="BI17" s="51">
        <f t="shared" si="10"/>
        <v>0</v>
      </c>
      <c r="BJ17" s="52">
        <f t="shared" si="11"/>
        <v>0</v>
      </c>
      <c r="BK17" s="66">
        <f t="shared" si="12"/>
        <v>0</v>
      </c>
      <c r="BM17" s="51">
        <f t="shared" si="13"/>
        <v>0</v>
      </c>
      <c r="BO17" s="51">
        <f t="shared" si="14"/>
        <v>0</v>
      </c>
      <c r="BP17" s="51">
        <f t="shared" si="15"/>
        <v>35</v>
      </c>
      <c r="BR17" s="51">
        <f t="shared" si="16"/>
        <v>1200</v>
      </c>
      <c r="BT17" s="51">
        <f t="shared" si="17"/>
        <v>0</v>
      </c>
      <c r="BU17" s="51">
        <f t="shared" si="18"/>
        <v>0</v>
      </c>
      <c r="BV17" s="51">
        <f t="shared" si="19"/>
        <v>0</v>
      </c>
      <c r="BW17" s="51">
        <f t="shared" si="20"/>
        <v>0</v>
      </c>
      <c r="BX17" s="51">
        <f t="shared" si="21"/>
        <v>0</v>
      </c>
      <c r="BY17" s="51">
        <f t="shared" si="22"/>
        <v>0</v>
      </c>
      <c r="CA17" s="51">
        <f t="shared" si="23"/>
        <v>0</v>
      </c>
      <c r="CB17" s="52">
        <f t="shared" si="27"/>
        <v>1235</v>
      </c>
      <c r="CC17" s="3">
        <f t="shared" si="32"/>
        <v>-1235</v>
      </c>
    </row>
    <row r="18" spans="1:81" ht="12.75">
      <c r="A18" s="5" t="s">
        <v>91</v>
      </c>
      <c r="C18" s="14"/>
      <c r="D18" s="14"/>
      <c r="E18" s="14"/>
      <c r="F18" s="14"/>
      <c r="G18" s="14"/>
      <c r="H18" s="14"/>
      <c r="I18" s="14"/>
      <c r="J18" s="14"/>
      <c r="K18" s="2">
        <f t="shared" si="28"/>
        <v>0</v>
      </c>
      <c r="L18" s="104">
        <f>1081/1081*(4/4*61*0+11/11*322*0+12/12*348.1)+1080/1080*(11/11*85.1*0+12/12*93.61)+1082/1082*(203*0+12/12*223.3)</f>
        <v>665.01</v>
      </c>
      <c r="M18" s="14"/>
      <c r="N18" s="14"/>
      <c r="O18" s="51">
        <f>1080/1080*(2/2*549*0+10/10*3206*0+11/11*5897*0+12/12*5967)+1081/1081*(1225*0+12/12*1347.5)+1082/1082*(1403*0+12/12*1490.5)</f>
        <v>8805</v>
      </c>
      <c r="P18" s="51">
        <f>12/12*(1080/1080*1200+1081/1081*1200+1082/1082*1200)</f>
        <v>3600</v>
      </c>
      <c r="Q18" s="14"/>
      <c r="R18" s="14"/>
      <c r="S18" s="14"/>
      <c r="T18" s="14"/>
      <c r="U18" s="14"/>
      <c r="V18" s="14"/>
      <c r="W18" s="14"/>
      <c r="X18" s="52">
        <f>SUM(L18:W18)</f>
        <v>13070.01</v>
      </c>
      <c r="Y18" s="3">
        <f t="shared" si="1"/>
        <v>-13070.01</v>
      </c>
      <c r="AA18" s="14"/>
      <c r="AB18" s="14"/>
      <c r="AC18" s="14"/>
      <c r="AD18" s="14"/>
      <c r="AE18" s="14"/>
      <c r="AF18" s="14"/>
      <c r="AG18" s="14"/>
      <c r="AH18" s="14"/>
      <c r="AI18" s="52">
        <f t="shared" si="25"/>
        <v>0</v>
      </c>
      <c r="AJ18" s="94">
        <f>1081/1081*(4/4*61*0+11/11*322)+1080/1080*11/11*85.1+1082/1082*203</f>
        <v>610.1</v>
      </c>
      <c r="AK18" s="14"/>
      <c r="AL18" s="14"/>
      <c r="AM18" s="76">
        <f>1080/1080*(2/2*549*0+10/10*3206*0+11/11*5897)+1081/1081*1225+1082/1082*1403</f>
        <v>8525</v>
      </c>
      <c r="AN18" s="14"/>
      <c r="AO18" s="14"/>
      <c r="AP18" s="14"/>
      <c r="AQ18" s="14"/>
      <c r="AR18" s="14"/>
      <c r="AS18" s="14"/>
      <c r="AT18" s="14"/>
      <c r="AU18" s="14"/>
      <c r="AV18" s="52">
        <f t="shared" si="2"/>
        <v>9135.1</v>
      </c>
      <c r="AW18" s="3">
        <f t="shared" si="31"/>
        <v>-9135.1</v>
      </c>
      <c r="AX18" s="51">
        <f t="shared" si="26"/>
        <v>0</v>
      </c>
      <c r="AZ18" s="51">
        <f t="shared" si="4"/>
        <v>0</v>
      </c>
      <c r="BB18" s="51">
        <f t="shared" si="5"/>
        <v>0</v>
      </c>
      <c r="BC18" s="51">
        <f t="shared" si="6"/>
        <v>0</v>
      </c>
      <c r="BD18" s="51">
        <f t="shared" si="7"/>
        <v>0</v>
      </c>
      <c r="BF18" s="51">
        <f t="shared" si="8"/>
        <v>0</v>
      </c>
      <c r="BH18" s="51">
        <f t="shared" si="9"/>
        <v>0</v>
      </c>
      <c r="BI18" s="51">
        <f t="shared" si="10"/>
        <v>0</v>
      </c>
      <c r="BJ18" s="52">
        <f t="shared" si="11"/>
        <v>0</v>
      </c>
      <c r="BK18" s="51">
        <f t="shared" si="12"/>
        <v>54.90999999999997</v>
      </c>
      <c r="BM18" s="51">
        <f t="shared" si="13"/>
        <v>0</v>
      </c>
      <c r="BO18" s="51">
        <f t="shared" si="14"/>
        <v>0</v>
      </c>
      <c r="BP18" s="51">
        <f t="shared" si="15"/>
        <v>280</v>
      </c>
      <c r="BR18" s="51">
        <f t="shared" si="16"/>
        <v>3600</v>
      </c>
      <c r="BT18" s="51">
        <f t="shared" si="17"/>
        <v>0</v>
      </c>
      <c r="BU18" s="51">
        <f t="shared" si="18"/>
        <v>0</v>
      </c>
      <c r="BV18" s="51">
        <f t="shared" si="19"/>
        <v>0</v>
      </c>
      <c r="BW18" s="51">
        <f t="shared" si="20"/>
        <v>0</v>
      </c>
      <c r="BX18" s="51">
        <f t="shared" si="21"/>
        <v>0</v>
      </c>
      <c r="BY18" s="51">
        <f t="shared" si="22"/>
        <v>0</v>
      </c>
      <c r="CA18" s="51">
        <f t="shared" si="23"/>
        <v>0</v>
      </c>
      <c r="CB18" s="52">
        <f t="shared" si="27"/>
        <v>3934.91</v>
      </c>
      <c r="CC18" s="3">
        <f t="shared" si="32"/>
        <v>-3934.91</v>
      </c>
    </row>
    <row r="19" spans="1:81" ht="12.75">
      <c r="A19" s="5" t="s">
        <v>37</v>
      </c>
      <c r="C19" s="14"/>
      <c r="D19" s="14"/>
      <c r="E19" s="14"/>
      <c r="F19" s="14"/>
      <c r="G19" s="14"/>
      <c r="H19" s="14"/>
      <c r="I19" s="14"/>
      <c r="J19" s="14"/>
      <c r="K19" s="2">
        <f t="shared" si="28"/>
        <v>0</v>
      </c>
      <c r="L19" s="92">
        <f>6/6*130/130*889</f>
        <v>889</v>
      </c>
      <c r="M19" s="14"/>
      <c r="N19" s="14"/>
      <c r="O19" s="14">
        <f>2/2*1752+11/11*650</f>
        <v>2402</v>
      </c>
      <c r="P19" s="14">
        <f>2/2*2040*0+8/8*5820</f>
        <v>5820</v>
      </c>
      <c r="Q19" s="14"/>
      <c r="R19" s="14"/>
      <c r="S19" s="14"/>
      <c r="T19" s="14"/>
      <c r="U19" s="14"/>
      <c r="V19" s="14"/>
      <c r="W19" s="14"/>
      <c r="X19" s="52">
        <f t="shared" si="0"/>
        <v>9111</v>
      </c>
      <c r="Y19" s="3">
        <f t="shared" si="1"/>
        <v>-9111</v>
      </c>
      <c r="AA19" s="14"/>
      <c r="AB19" s="14"/>
      <c r="AC19" s="14"/>
      <c r="AD19" s="14"/>
      <c r="AE19" s="14"/>
      <c r="AF19" s="14"/>
      <c r="AG19" s="14"/>
      <c r="AH19" s="14"/>
      <c r="AI19" s="52">
        <f t="shared" si="25"/>
        <v>0</v>
      </c>
      <c r="AJ19" s="92">
        <f>6/6*130/130*889</f>
        <v>889</v>
      </c>
      <c r="AK19" s="14"/>
      <c r="AL19" s="14"/>
      <c r="AM19" s="76">
        <f>2/2*1752+11/11*650</f>
        <v>2402</v>
      </c>
      <c r="AN19" s="14">
        <f>2/2*2040*0+8/8*5820</f>
        <v>5820</v>
      </c>
      <c r="AO19" s="14"/>
      <c r="AP19" s="14"/>
      <c r="AQ19" s="14"/>
      <c r="AR19" s="14"/>
      <c r="AS19" s="14"/>
      <c r="AT19" s="14"/>
      <c r="AU19" s="14"/>
      <c r="AV19" s="52">
        <f t="shared" si="2"/>
        <v>9111</v>
      </c>
      <c r="AW19" s="3">
        <f t="shared" si="31"/>
        <v>-9111</v>
      </c>
      <c r="AX19" s="51">
        <f t="shared" si="26"/>
        <v>0</v>
      </c>
      <c r="AZ19" s="51">
        <f aca="true" t="shared" si="33" ref="AZ19:AZ72">D19-AB19</f>
        <v>0</v>
      </c>
      <c r="BB19" s="51">
        <f aca="true" t="shared" si="34" ref="BB19:BB72">E19-AC19</f>
        <v>0</v>
      </c>
      <c r="BC19" s="51">
        <f aca="true" t="shared" si="35" ref="BC19:BC72">F19-AD19</f>
        <v>0</v>
      </c>
      <c r="BD19" s="51">
        <f aca="true" t="shared" si="36" ref="BD19:BD72">G19-AE19</f>
        <v>0</v>
      </c>
      <c r="BF19" s="51">
        <f aca="true" t="shared" si="37" ref="BF19:BF72">H19-AF19</f>
        <v>0</v>
      </c>
      <c r="BH19" s="51">
        <f aca="true" t="shared" si="38" ref="BH19:BH72">I19-AG19</f>
        <v>0</v>
      </c>
      <c r="BI19" s="51">
        <f aca="true" t="shared" si="39" ref="BI19:BI72">J19-AH19</f>
        <v>0</v>
      </c>
      <c r="BJ19" s="52">
        <f>SUM(AX19,AZ19,BB19,BC19,BF19,BH19,BI19)</f>
        <v>0</v>
      </c>
      <c r="BK19" s="51">
        <f aca="true" t="shared" si="40" ref="BK19:BK72">L19-AJ19</f>
        <v>0</v>
      </c>
      <c r="BM19" s="51">
        <f aca="true" t="shared" si="41" ref="BM19:BM72">M19-AK19</f>
        <v>0</v>
      </c>
      <c r="BO19" s="51">
        <f aca="true" t="shared" si="42" ref="BO19:BO72">N19-AL19</f>
        <v>0</v>
      </c>
      <c r="BP19" s="51">
        <f aca="true" t="shared" si="43" ref="BP19:BP72">O19-AM19</f>
        <v>0</v>
      </c>
      <c r="BR19" s="51">
        <f aca="true" t="shared" si="44" ref="BR19:BR72">P19-AN19</f>
        <v>0</v>
      </c>
      <c r="BT19" s="51">
        <f aca="true" t="shared" si="45" ref="BT19:BT72">Q19-AO19</f>
        <v>0</v>
      </c>
      <c r="BU19" s="51">
        <f aca="true" t="shared" si="46" ref="BU19:BU72">R19-AP19</f>
        <v>0</v>
      </c>
      <c r="BV19" s="51">
        <f aca="true" t="shared" si="47" ref="BV19:BV72">S19-AQ19</f>
        <v>0</v>
      </c>
      <c r="BW19" s="51">
        <f aca="true" t="shared" si="48" ref="BW19:BW72">T19-AR19</f>
        <v>0</v>
      </c>
      <c r="BX19" s="51">
        <f aca="true" t="shared" si="49" ref="BX19:BX72">U19-AS19</f>
        <v>0</v>
      </c>
      <c r="BY19" s="51">
        <f aca="true" t="shared" si="50" ref="BY19:BY72">V19-AT19</f>
        <v>0</v>
      </c>
      <c r="CA19" s="51">
        <f aca="true" t="shared" si="51" ref="CA19:CA72">W19-AU19</f>
        <v>0</v>
      </c>
      <c r="CB19" s="52">
        <f t="shared" si="27"/>
        <v>0</v>
      </c>
      <c r="CC19" s="3">
        <f t="shared" si="32"/>
        <v>0</v>
      </c>
    </row>
    <row r="20" spans="1:81" ht="12.75">
      <c r="A20" s="5" t="s">
        <v>66</v>
      </c>
      <c r="C20" s="14"/>
      <c r="D20" s="14"/>
      <c r="E20" s="14"/>
      <c r="F20" s="14"/>
      <c r="G20" s="14"/>
      <c r="H20" s="14"/>
      <c r="I20" s="14"/>
      <c r="J20" s="14"/>
      <c r="K20" s="2">
        <f t="shared" si="28"/>
        <v>0</v>
      </c>
      <c r="L20" s="92">
        <f>1112/1112*10/10*47633</f>
        <v>47633</v>
      </c>
      <c r="M20" s="14"/>
      <c r="N20" s="14"/>
      <c r="O20" s="14">
        <f>1112/1112*(3/3*213971+6/6*1346.1)+102/102*(7/7*1496*0+9/9*4407)</f>
        <v>219724.1</v>
      </c>
      <c r="P20" s="14"/>
      <c r="Q20" s="14"/>
      <c r="R20" s="14"/>
      <c r="S20" s="14"/>
      <c r="T20" s="14"/>
      <c r="U20" s="14"/>
      <c r="V20" s="14"/>
      <c r="W20" s="14"/>
      <c r="X20" s="52">
        <f t="shared" si="0"/>
        <v>267357.1</v>
      </c>
      <c r="Y20" s="3">
        <f t="shared" si="1"/>
        <v>-267357.1</v>
      </c>
      <c r="AA20" s="14"/>
      <c r="AB20" s="14"/>
      <c r="AC20" s="14"/>
      <c r="AD20" s="14"/>
      <c r="AE20" s="14"/>
      <c r="AF20" s="14"/>
      <c r="AG20" s="14"/>
      <c r="AH20" s="14"/>
      <c r="AI20" s="52">
        <f t="shared" si="25"/>
        <v>0</v>
      </c>
      <c r="AJ20" s="92">
        <f>1112/1112*10/10*47633</f>
        <v>47633</v>
      </c>
      <c r="AK20" s="14"/>
      <c r="AL20" s="14"/>
      <c r="AM20" s="14">
        <f>1112/1112*(3/3*213971+6/6*1346.1)+102/102*(7/7*1496*0+9/9*4407)</f>
        <v>219724.1</v>
      </c>
      <c r="AN20" s="14"/>
      <c r="AO20" s="14"/>
      <c r="AP20" s="14"/>
      <c r="AQ20" s="14"/>
      <c r="AR20" s="14"/>
      <c r="AS20" s="14"/>
      <c r="AT20" s="14"/>
      <c r="AU20" s="14"/>
      <c r="AV20" s="52">
        <f t="shared" si="2"/>
        <v>267357.1</v>
      </c>
      <c r="AW20" s="3">
        <f t="shared" si="31"/>
        <v>-267357.1</v>
      </c>
      <c r="AX20" s="51">
        <f t="shared" si="26"/>
        <v>0</v>
      </c>
      <c r="AZ20" s="51">
        <f t="shared" si="33"/>
        <v>0</v>
      </c>
      <c r="BB20" s="51">
        <f t="shared" si="34"/>
        <v>0</v>
      </c>
      <c r="BC20" s="51">
        <f t="shared" si="35"/>
        <v>0</v>
      </c>
      <c r="BD20" s="51">
        <f t="shared" si="36"/>
        <v>0</v>
      </c>
      <c r="BF20" s="51">
        <f t="shared" si="37"/>
        <v>0</v>
      </c>
      <c r="BH20" s="51">
        <f t="shared" si="38"/>
        <v>0</v>
      </c>
      <c r="BI20" s="51">
        <f t="shared" si="39"/>
        <v>0</v>
      </c>
      <c r="BJ20" s="52">
        <f aca="true" t="shared" si="52" ref="BJ20:BJ34">SUM(AX20,AZ20,BB20,BC20,BF20,BH20,BI20)</f>
        <v>0</v>
      </c>
      <c r="BK20" s="66">
        <f t="shared" si="40"/>
        <v>0</v>
      </c>
      <c r="BM20" s="51">
        <f t="shared" si="41"/>
        <v>0</v>
      </c>
      <c r="BO20" s="51">
        <f t="shared" si="42"/>
        <v>0</v>
      </c>
      <c r="BP20" s="51">
        <f t="shared" si="43"/>
        <v>0</v>
      </c>
      <c r="BR20" s="51">
        <f t="shared" si="44"/>
        <v>0</v>
      </c>
      <c r="BT20" s="51">
        <f t="shared" si="45"/>
        <v>0</v>
      </c>
      <c r="BU20" s="51">
        <f t="shared" si="46"/>
        <v>0</v>
      </c>
      <c r="BV20" s="51">
        <f t="shared" si="47"/>
        <v>0</v>
      </c>
      <c r="BW20" s="51">
        <f t="shared" si="48"/>
        <v>0</v>
      </c>
      <c r="BX20" s="51">
        <f t="shared" si="49"/>
        <v>0</v>
      </c>
      <c r="BY20" s="51">
        <f t="shared" si="50"/>
        <v>0</v>
      </c>
      <c r="CA20" s="51">
        <f t="shared" si="51"/>
        <v>0</v>
      </c>
      <c r="CB20" s="52">
        <f t="shared" si="27"/>
        <v>0</v>
      </c>
      <c r="CC20" s="3">
        <f t="shared" si="32"/>
        <v>0</v>
      </c>
    </row>
    <row r="21" spans="1:81" ht="12.75">
      <c r="A21" s="24" t="s">
        <v>68</v>
      </c>
      <c r="C21" s="14"/>
      <c r="D21" s="14"/>
      <c r="E21" s="14"/>
      <c r="F21" s="14"/>
      <c r="G21" s="14"/>
      <c r="H21" s="14"/>
      <c r="I21" s="14"/>
      <c r="J21" s="14"/>
      <c r="K21" s="2">
        <f t="shared" si="28"/>
        <v>0</v>
      </c>
      <c r="L21" s="92"/>
      <c r="M21" s="14"/>
      <c r="N21" s="14"/>
      <c r="O21" s="14">
        <f>7/7*2244.4*0+9/9*2915.4</f>
        <v>2915.4</v>
      </c>
      <c r="P21" s="14">
        <f>8/8*3156</f>
        <v>3156</v>
      </c>
      <c r="Q21" s="14"/>
      <c r="R21" s="14"/>
      <c r="S21" s="14"/>
      <c r="T21" s="14"/>
      <c r="U21" s="14"/>
      <c r="V21" s="14"/>
      <c r="W21" s="14"/>
      <c r="X21" s="52">
        <f>SUM(L21:W21)</f>
        <v>6071.4</v>
      </c>
      <c r="Y21" s="3">
        <f>K21-X21</f>
        <v>-6071.4</v>
      </c>
      <c r="AA21" s="14"/>
      <c r="AB21" s="14"/>
      <c r="AC21" s="14"/>
      <c r="AD21" s="14"/>
      <c r="AE21" s="14"/>
      <c r="AF21" s="14"/>
      <c r="AG21" s="14"/>
      <c r="AH21" s="14"/>
      <c r="AI21" s="52">
        <f t="shared" si="25"/>
        <v>0</v>
      </c>
      <c r="AJ21" s="92"/>
      <c r="AK21" s="14"/>
      <c r="AL21" s="14"/>
      <c r="AM21" s="14">
        <f>7/7*2244.4*0+9/9*2915.4</f>
        <v>2915.4</v>
      </c>
      <c r="AN21" s="14">
        <f>8/8*3156</f>
        <v>3156</v>
      </c>
      <c r="AO21" s="14"/>
      <c r="AP21" s="14"/>
      <c r="AQ21" s="14"/>
      <c r="AR21" s="14"/>
      <c r="AS21" s="14"/>
      <c r="AT21" s="14"/>
      <c r="AU21" s="14"/>
      <c r="AV21" s="52">
        <f t="shared" si="2"/>
        <v>6071.4</v>
      </c>
      <c r="AW21" s="3">
        <f>AI21-AV21</f>
        <v>-6071.4</v>
      </c>
      <c r="AX21" s="51">
        <f>C21-AA21</f>
        <v>0</v>
      </c>
      <c r="AZ21" s="51">
        <f>D21-AB21</f>
        <v>0</v>
      </c>
      <c r="BB21" s="51">
        <f>E21-AC21</f>
        <v>0</v>
      </c>
      <c r="BC21" s="51">
        <f>F21-AD21</f>
        <v>0</v>
      </c>
      <c r="BD21" s="51">
        <f>G21-AE21</f>
        <v>0</v>
      </c>
      <c r="BF21" s="51">
        <f>H21-AF21</f>
        <v>0</v>
      </c>
      <c r="BH21" s="51">
        <f>I21-AG21</f>
        <v>0</v>
      </c>
      <c r="BI21" s="51">
        <f>J21-AH21</f>
        <v>0</v>
      </c>
      <c r="BJ21" s="52">
        <f t="shared" si="52"/>
        <v>0</v>
      </c>
      <c r="BK21" s="51">
        <f>L21-AJ21</f>
        <v>0</v>
      </c>
      <c r="BM21" s="51">
        <f>M21-AK21</f>
        <v>0</v>
      </c>
      <c r="BO21" s="51">
        <f>N21-AL21</f>
        <v>0</v>
      </c>
      <c r="BP21" s="51">
        <f>O21-AM21</f>
        <v>0</v>
      </c>
      <c r="BR21" s="51">
        <f>P21-AN21</f>
        <v>0</v>
      </c>
      <c r="BT21" s="51">
        <f aca="true" t="shared" si="53" ref="BT21:BY21">Q21-AO21</f>
        <v>0</v>
      </c>
      <c r="BU21" s="51">
        <f t="shared" si="53"/>
        <v>0</v>
      </c>
      <c r="BV21" s="51">
        <f t="shared" si="53"/>
        <v>0</v>
      </c>
      <c r="BW21" s="51">
        <f t="shared" si="53"/>
        <v>0</v>
      </c>
      <c r="BX21" s="51">
        <f t="shared" si="53"/>
        <v>0</v>
      </c>
      <c r="BY21" s="51">
        <f t="shared" si="53"/>
        <v>0</v>
      </c>
      <c r="CA21" s="51">
        <f>W21-AU21</f>
        <v>0</v>
      </c>
      <c r="CB21" s="52">
        <f t="shared" si="27"/>
        <v>0</v>
      </c>
      <c r="CC21" s="3">
        <f t="shared" si="32"/>
        <v>0</v>
      </c>
    </row>
    <row r="22" spans="1:81" ht="12.75">
      <c r="A22" s="5" t="s">
        <v>38</v>
      </c>
      <c r="C22" s="14"/>
      <c r="D22" s="14"/>
      <c r="E22" s="14"/>
      <c r="F22" s="14"/>
      <c r="G22" s="14"/>
      <c r="H22" s="14"/>
      <c r="I22" s="14"/>
      <c r="J22" s="14"/>
      <c r="K22" s="2">
        <f t="shared" si="28"/>
        <v>0</v>
      </c>
      <c r="L22" s="92"/>
      <c r="M22" s="14"/>
      <c r="N22" s="14"/>
      <c r="O22" s="14">
        <f>2/2*8524+10/10*1029</f>
        <v>9553</v>
      </c>
      <c r="P22" s="14"/>
      <c r="Q22" s="14"/>
      <c r="R22" s="14"/>
      <c r="S22" s="14"/>
      <c r="T22" s="14"/>
      <c r="U22" s="14"/>
      <c r="V22" s="14"/>
      <c r="W22" s="14"/>
      <c r="X22" s="52">
        <f t="shared" si="0"/>
        <v>9553</v>
      </c>
      <c r="Y22" s="3">
        <f t="shared" si="1"/>
        <v>-9553</v>
      </c>
      <c r="AA22" s="14"/>
      <c r="AB22" s="14"/>
      <c r="AC22" s="14"/>
      <c r="AD22" s="14"/>
      <c r="AE22" s="14"/>
      <c r="AF22" s="14"/>
      <c r="AG22" s="14"/>
      <c r="AH22" s="14"/>
      <c r="AI22" s="52">
        <f t="shared" si="25"/>
        <v>0</v>
      </c>
      <c r="AJ22" s="92"/>
      <c r="AK22" s="14"/>
      <c r="AL22" s="14"/>
      <c r="AM22" s="14">
        <f>2/2*8524+10/10*1029</f>
        <v>9553</v>
      </c>
      <c r="AN22" s="14"/>
      <c r="AO22" s="14"/>
      <c r="AP22" s="14"/>
      <c r="AQ22" s="14"/>
      <c r="AR22" s="14"/>
      <c r="AS22" s="14"/>
      <c r="AT22" s="14"/>
      <c r="AU22" s="14"/>
      <c r="AV22" s="52">
        <f t="shared" si="2"/>
        <v>9553</v>
      </c>
      <c r="AW22" s="3">
        <f t="shared" si="31"/>
        <v>-9553</v>
      </c>
      <c r="AX22" s="51">
        <f t="shared" si="26"/>
        <v>0</v>
      </c>
      <c r="AZ22" s="51">
        <f t="shared" si="33"/>
        <v>0</v>
      </c>
      <c r="BB22" s="51">
        <f t="shared" si="34"/>
        <v>0</v>
      </c>
      <c r="BC22" s="51">
        <f t="shared" si="35"/>
        <v>0</v>
      </c>
      <c r="BD22" s="51">
        <f t="shared" si="36"/>
        <v>0</v>
      </c>
      <c r="BF22" s="51">
        <f t="shared" si="37"/>
        <v>0</v>
      </c>
      <c r="BH22" s="51">
        <f t="shared" si="38"/>
        <v>0</v>
      </c>
      <c r="BI22" s="51">
        <f t="shared" si="39"/>
        <v>0</v>
      </c>
      <c r="BJ22" s="52">
        <f t="shared" si="52"/>
        <v>0</v>
      </c>
      <c r="BK22" s="51">
        <f t="shared" si="40"/>
        <v>0</v>
      </c>
      <c r="BM22" s="51">
        <f t="shared" si="41"/>
        <v>0</v>
      </c>
      <c r="BO22" s="51">
        <f t="shared" si="42"/>
        <v>0</v>
      </c>
      <c r="BP22" s="51">
        <f t="shared" si="43"/>
        <v>0</v>
      </c>
      <c r="BR22" s="51">
        <f t="shared" si="44"/>
        <v>0</v>
      </c>
      <c r="BT22" s="51">
        <f t="shared" si="45"/>
        <v>0</v>
      </c>
      <c r="BU22" s="51">
        <f t="shared" si="46"/>
        <v>0</v>
      </c>
      <c r="BV22" s="51">
        <f t="shared" si="47"/>
        <v>0</v>
      </c>
      <c r="BW22" s="51">
        <f t="shared" si="48"/>
        <v>0</v>
      </c>
      <c r="BX22" s="51">
        <f t="shared" si="49"/>
        <v>0</v>
      </c>
      <c r="BY22" s="51">
        <f t="shared" si="50"/>
        <v>0</v>
      </c>
      <c r="CA22" s="51">
        <f t="shared" si="51"/>
        <v>0</v>
      </c>
      <c r="CB22" s="52">
        <f t="shared" si="27"/>
        <v>0</v>
      </c>
      <c r="CC22" s="3">
        <f t="shared" si="32"/>
        <v>0</v>
      </c>
    </row>
    <row r="23" spans="1:81" ht="12.75">
      <c r="A23" s="24" t="s">
        <v>52</v>
      </c>
      <c r="C23" s="14"/>
      <c r="D23" s="14"/>
      <c r="E23" s="14"/>
      <c r="F23" s="14"/>
      <c r="G23" s="14"/>
      <c r="H23" s="14"/>
      <c r="I23" s="14"/>
      <c r="J23" s="14"/>
      <c r="K23" s="2">
        <f t="shared" si="28"/>
        <v>0</v>
      </c>
      <c r="L23" s="92"/>
      <c r="M23" s="14"/>
      <c r="N23" s="14"/>
      <c r="O23" s="51">
        <f>(4/4*10100+6/6*5732+7/7*1117.2)*0+8/8*73049.2*0+11/11*91958.8*0+12/12*95355.8</f>
        <v>95355.8</v>
      </c>
      <c r="P23" s="14">
        <f>7/7*700+8/8*1200</f>
        <v>1900</v>
      </c>
      <c r="Q23" s="14"/>
      <c r="R23" s="14"/>
      <c r="S23" s="14"/>
      <c r="T23" s="14"/>
      <c r="U23" s="14"/>
      <c r="V23" s="14">
        <f>11/11*-0.2</f>
        <v>-0.2</v>
      </c>
      <c r="W23" s="14"/>
      <c r="X23" s="52">
        <f>SUM(L23:W23)</f>
        <v>97255.6</v>
      </c>
      <c r="Y23" s="3">
        <f>K23-X23</f>
        <v>-97255.6</v>
      </c>
      <c r="AA23" s="14"/>
      <c r="AB23" s="14"/>
      <c r="AC23" s="14"/>
      <c r="AD23" s="14"/>
      <c r="AE23" s="14"/>
      <c r="AF23" s="14"/>
      <c r="AG23" s="14"/>
      <c r="AH23" s="14"/>
      <c r="AI23" s="52">
        <f t="shared" si="25"/>
        <v>0</v>
      </c>
      <c r="AJ23" s="92"/>
      <c r="AK23" s="14"/>
      <c r="AL23" s="14"/>
      <c r="AM23" s="76">
        <f>(4/4*10100+6/6*5732+7/7*1117.2)*0+8/8*73049.2*0+11/11*91958.8</f>
        <v>91958.8</v>
      </c>
      <c r="AN23" s="14">
        <f>7/7*700+8/8*1200</f>
        <v>1900</v>
      </c>
      <c r="AO23" s="14"/>
      <c r="AP23" s="14"/>
      <c r="AQ23" s="14"/>
      <c r="AR23" s="14"/>
      <c r="AS23" s="14"/>
      <c r="AT23" s="76">
        <f>11/11*-0.2</f>
        <v>-0.2</v>
      </c>
      <c r="AU23" s="14"/>
      <c r="AV23" s="52">
        <f t="shared" si="2"/>
        <v>93858.6</v>
      </c>
      <c r="AW23" s="3">
        <f t="shared" si="31"/>
        <v>-93858.6</v>
      </c>
      <c r="AX23" s="51">
        <f t="shared" si="26"/>
        <v>0</v>
      </c>
      <c r="AZ23" s="51">
        <f t="shared" si="33"/>
        <v>0</v>
      </c>
      <c r="BB23" s="51">
        <f t="shared" si="34"/>
        <v>0</v>
      </c>
      <c r="BC23" s="51">
        <f t="shared" si="35"/>
        <v>0</v>
      </c>
      <c r="BD23" s="51">
        <f t="shared" si="36"/>
        <v>0</v>
      </c>
      <c r="BF23" s="51">
        <f t="shared" si="37"/>
        <v>0</v>
      </c>
      <c r="BH23" s="51">
        <f t="shared" si="38"/>
        <v>0</v>
      </c>
      <c r="BI23" s="51">
        <f t="shared" si="39"/>
        <v>0</v>
      </c>
      <c r="BJ23" s="52">
        <f t="shared" si="52"/>
        <v>0</v>
      </c>
      <c r="BK23" s="51">
        <f t="shared" si="40"/>
        <v>0</v>
      </c>
      <c r="BM23" s="51">
        <f t="shared" si="41"/>
        <v>0</v>
      </c>
      <c r="BO23" s="51">
        <f t="shared" si="42"/>
        <v>0</v>
      </c>
      <c r="BP23" s="51">
        <f t="shared" si="43"/>
        <v>3397</v>
      </c>
      <c r="BR23" s="51">
        <f t="shared" si="44"/>
        <v>0</v>
      </c>
      <c r="BT23" s="51">
        <f t="shared" si="45"/>
        <v>0</v>
      </c>
      <c r="BU23" s="51">
        <f t="shared" si="46"/>
        <v>0</v>
      </c>
      <c r="BV23" s="51">
        <f t="shared" si="47"/>
        <v>0</v>
      </c>
      <c r="BW23" s="51">
        <f t="shared" si="48"/>
        <v>0</v>
      </c>
      <c r="BX23" s="51">
        <f t="shared" si="49"/>
        <v>0</v>
      </c>
      <c r="BY23" s="51">
        <f t="shared" si="50"/>
        <v>0</v>
      </c>
      <c r="CA23" s="51">
        <f t="shared" si="51"/>
        <v>0</v>
      </c>
      <c r="CB23" s="52">
        <f t="shared" si="27"/>
        <v>3397</v>
      </c>
      <c r="CC23" s="3">
        <f t="shared" si="32"/>
        <v>-3397</v>
      </c>
    </row>
    <row r="24" spans="1:81" ht="12.75">
      <c r="A24" s="35" t="s">
        <v>79</v>
      </c>
      <c r="C24" s="14"/>
      <c r="D24" s="14"/>
      <c r="E24" s="14"/>
      <c r="F24" s="14"/>
      <c r="G24" s="14"/>
      <c r="H24" s="14"/>
      <c r="I24" s="14"/>
      <c r="J24" s="14"/>
      <c r="K24" s="2">
        <f t="shared" si="28"/>
        <v>0</v>
      </c>
      <c r="L24" s="92">
        <f>6/6*2350*0*11/11</f>
        <v>0</v>
      </c>
      <c r="M24" s="14"/>
      <c r="N24" s="14"/>
      <c r="O24" s="14">
        <f>6/6*1500+11/11*2350</f>
        <v>3850</v>
      </c>
      <c r="P24" s="14">
        <f>10/10*402</f>
        <v>402</v>
      </c>
      <c r="Q24" s="14"/>
      <c r="R24" s="14"/>
      <c r="S24" s="14"/>
      <c r="T24" s="14"/>
      <c r="U24" s="14"/>
      <c r="V24" s="14"/>
      <c r="W24" s="14"/>
      <c r="X24" s="52">
        <f>SUM(L24:W24)</f>
        <v>4252</v>
      </c>
      <c r="Y24" s="3">
        <f>K24-X24</f>
        <v>-4252</v>
      </c>
      <c r="AA24" s="14"/>
      <c r="AB24" s="14"/>
      <c r="AC24" s="14"/>
      <c r="AD24" s="14"/>
      <c r="AE24" s="14"/>
      <c r="AF24" s="14"/>
      <c r="AG24" s="14"/>
      <c r="AH24" s="14"/>
      <c r="AI24" s="52">
        <f t="shared" si="25"/>
        <v>0</v>
      </c>
      <c r="AJ24" s="94">
        <f>6/6*2350*0*11/11</f>
        <v>0</v>
      </c>
      <c r="AK24" s="14"/>
      <c r="AL24" s="14"/>
      <c r="AM24" s="76">
        <f>6/6*1500+11/11*2350</f>
        <v>3850</v>
      </c>
      <c r="AN24" s="14">
        <f>10/10*402</f>
        <v>402</v>
      </c>
      <c r="AO24" s="14"/>
      <c r="AP24" s="14"/>
      <c r="AQ24" s="14"/>
      <c r="AR24" s="14"/>
      <c r="AS24" s="14"/>
      <c r="AT24" s="14"/>
      <c r="AU24" s="14"/>
      <c r="AV24" s="52">
        <f t="shared" si="2"/>
        <v>4252</v>
      </c>
      <c r="AW24" s="3">
        <f>AI24-AV24</f>
        <v>-4252</v>
      </c>
      <c r="AX24" s="51">
        <f>C24-AA24</f>
        <v>0</v>
      </c>
      <c r="AZ24" s="51">
        <f>D24-AB24</f>
        <v>0</v>
      </c>
      <c r="BB24" s="51">
        <f>E24-AC24</f>
        <v>0</v>
      </c>
      <c r="BC24" s="51">
        <f>F24-AD24</f>
        <v>0</v>
      </c>
      <c r="BD24" s="51">
        <f>G24-AE24</f>
        <v>0</v>
      </c>
      <c r="BF24" s="51">
        <f>H24-AF24</f>
        <v>0</v>
      </c>
      <c r="BH24" s="51">
        <f>I24-AG24</f>
        <v>0</v>
      </c>
      <c r="BI24" s="51">
        <f>J24-AH24</f>
        <v>0</v>
      </c>
      <c r="BJ24" s="52">
        <f t="shared" si="52"/>
        <v>0</v>
      </c>
      <c r="BK24" s="51">
        <f>L24-AJ24</f>
        <v>0</v>
      </c>
      <c r="BM24" s="51">
        <f>M24-AK24</f>
        <v>0</v>
      </c>
      <c r="BO24" s="51">
        <f>N24-AL24</f>
        <v>0</v>
      </c>
      <c r="BP24" s="51">
        <f>O24-AM24</f>
        <v>0</v>
      </c>
      <c r="BR24" s="51">
        <f>P24-AN24</f>
        <v>0</v>
      </c>
      <c r="BT24" s="51">
        <f aca="true" t="shared" si="54" ref="BT24:BY24">Q24-AO24</f>
        <v>0</v>
      </c>
      <c r="BU24" s="51">
        <f t="shared" si="54"/>
        <v>0</v>
      </c>
      <c r="BV24" s="51">
        <f t="shared" si="54"/>
        <v>0</v>
      </c>
      <c r="BW24" s="51">
        <f t="shared" si="54"/>
        <v>0</v>
      </c>
      <c r="BX24" s="51">
        <f t="shared" si="54"/>
        <v>0</v>
      </c>
      <c r="BY24" s="51">
        <f t="shared" si="54"/>
        <v>0</v>
      </c>
      <c r="CA24" s="51">
        <f>W24-AU24</f>
        <v>0</v>
      </c>
      <c r="CB24" s="52">
        <f t="shared" si="27"/>
        <v>0</v>
      </c>
      <c r="CC24" s="3">
        <f>BJ24-CB24</f>
        <v>0</v>
      </c>
    </row>
    <row r="25" spans="1:81" ht="12" customHeight="1">
      <c r="A25" s="5" t="s">
        <v>45</v>
      </c>
      <c r="C25" s="14"/>
      <c r="D25" s="14"/>
      <c r="E25" s="14"/>
      <c r="F25" s="14"/>
      <c r="G25" s="14"/>
      <c r="H25" s="14"/>
      <c r="I25" s="14"/>
      <c r="J25" s="14"/>
      <c r="K25" s="2">
        <f t="shared" si="28"/>
        <v>0</v>
      </c>
      <c r="L25" s="92">
        <f>11/11*16548</f>
        <v>16548</v>
      </c>
      <c r="M25" s="14"/>
      <c r="N25" s="14"/>
      <c r="O25" s="53">
        <f>3/3*17573*0+4/4*17573*0+5/5*22876*0+9/9*25824*0+11/11*31467*0+12/12*31607</f>
        <v>31607</v>
      </c>
      <c r="P25" s="32">
        <f>45201517/45201517*(2/2*1098.33*0+3/3*1602.73*0+4/4*2097.73*0+5/5*2592.73*0+6/6*3114.81)*0*7/7</f>
        <v>0</v>
      </c>
      <c r="Q25" s="33"/>
      <c r="R25" s="33"/>
      <c r="S25" s="33"/>
      <c r="T25" s="33"/>
      <c r="U25" s="33"/>
      <c r="V25" s="33"/>
      <c r="W25" s="33"/>
      <c r="X25" s="52">
        <f>SUM(L25:W25)</f>
        <v>48155</v>
      </c>
      <c r="Y25" s="3">
        <f>K25-X25</f>
        <v>-48155</v>
      </c>
      <c r="AA25" s="14"/>
      <c r="AB25" s="14"/>
      <c r="AC25" s="14"/>
      <c r="AD25" s="14"/>
      <c r="AE25" s="14"/>
      <c r="AF25" s="14"/>
      <c r="AG25" s="14"/>
      <c r="AH25" s="14"/>
      <c r="AI25" s="52">
        <f t="shared" si="25"/>
        <v>0</v>
      </c>
      <c r="AJ25" s="94">
        <f>11/11*16548</f>
        <v>16548</v>
      </c>
      <c r="AK25" s="14"/>
      <c r="AL25" s="14"/>
      <c r="AM25" s="78">
        <f>3/3*17573*0+4/4*17573*0+5/5*22876*0+9/9*25824*0+11/11*31467</f>
        <v>31467</v>
      </c>
      <c r="AN25" s="32">
        <f>45201517/45201517*(2/2*1098.33*0+3/3*1602.73*0+4/4*2097.73*0+5/5*2592.73*0+6/6*3114.81)*0*7/7</f>
        <v>0</v>
      </c>
      <c r="AO25" s="33"/>
      <c r="AP25" s="33"/>
      <c r="AQ25" s="33"/>
      <c r="AR25" s="33"/>
      <c r="AS25" s="33"/>
      <c r="AT25" s="33"/>
      <c r="AU25" s="33"/>
      <c r="AV25" s="52">
        <f t="shared" si="2"/>
        <v>48015</v>
      </c>
      <c r="AW25" s="3">
        <f t="shared" si="31"/>
        <v>-48015</v>
      </c>
      <c r="AX25" s="51">
        <f t="shared" si="26"/>
        <v>0</v>
      </c>
      <c r="AZ25" s="51">
        <f t="shared" si="33"/>
        <v>0</v>
      </c>
      <c r="BB25" s="51">
        <f t="shared" si="34"/>
        <v>0</v>
      </c>
      <c r="BC25" s="51">
        <f t="shared" si="35"/>
        <v>0</v>
      </c>
      <c r="BD25" s="51">
        <f t="shared" si="36"/>
        <v>0</v>
      </c>
      <c r="BF25" s="51">
        <f t="shared" si="37"/>
        <v>0</v>
      </c>
      <c r="BH25" s="51">
        <f t="shared" si="38"/>
        <v>0</v>
      </c>
      <c r="BI25" s="51">
        <f t="shared" si="39"/>
        <v>0</v>
      </c>
      <c r="BJ25" s="52">
        <f t="shared" si="52"/>
        <v>0</v>
      </c>
      <c r="BK25" s="51">
        <f t="shared" si="40"/>
        <v>0</v>
      </c>
      <c r="BM25" s="51">
        <f t="shared" si="41"/>
        <v>0</v>
      </c>
      <c r="BO25" s="51">
        <f t="shared" si="42"/>
        <v>0</v>
      </c>
      <c r="BP25" s="51">
        <f t="shared" si="43"/>
        <v>140</v>
      </c>
      <c r="BR25" s="51">
        <f t="shared" si="44"/>
        <v>0</v>
      </c>
      <c r="BT25" s="51">
        <f t="shared" si="45"/>
        <v>0</v>
      </c>
      <c r="BU25" s="51">
        <f t="shared" si="46"/>
        <v>0</v>
      </c>
      <c r="BV25" s="51">
        <f t="shared" si="47"/>
        <v>0</v>
      </c>
      <c r="BW25" s="51">
        <f t="shared" si="48"/>
        <v>0</v>
      </c>
      <c r="BX25" s="51">
        <f t="shared" si="49"/>
        <v>0</v>
      </c>
      <c r="BY25" s="51">
        <f t="shared" si="50"/>
        <v>0</v>
      </c>
      <c r="CA25" s="51">
        <f t="shared" si="51"/>
        <v>0</v>
      </c>
      <c r="CB25" s="52">
        <f t="shared" si="27"/>
        <v>140</v>
      </c>
      <c r="CC25" s="3">
        <f t="shared" si="32"/>
        <v>-140</v>
      </c>
    </row>
    <row r="26" spans="1:81" ht="12.75">
      <c r="A26" s="6" t="s">
        <v>46</v>
      </c>
      <c r="C26" s="14"/>
      <c r="D26" s="51">
        <f>1517/1517*(8750*0+2/2*17500+3/3*8750+4/4*8750+6/6*18083.34+7/7*9041.67+8/8*9041.67+9/9*8333.34+10/10*9041.66+11/11*9041.66+12/12*9041.66)</f>
        <v>106625</v>
      </c>
      <c r="E26" s="14"/>
      <c r="F26" s="14"/>
      <c r="G26" s="14"/>
      <c r="H26" s="101">
        <f>7/7*26963.66</f>
        <v>26963.66</v>
      </c>
      <c r="I26" s="14"/>
      <c r="J26" s="14"/>
      <c r="K26" s="52">
        <f>SUM(B26:J26)</f>
        <v>133588.66</v>
      </c>
      <c r="L26" s="32">
        <f>45201517/45201517*5/5*501/501*14262*0</f>
        <v>0</v>
      </c>
      <c r="M26" s="33"/>
      <c r="N26" s="33"/>
      <c r="O26" s="33">
        <f>2/2*(41/41*2613+62/62*14960)*0*3/3+6/6*3114.81*0+45201517/45201517*7/7*12770*0+11/11*27032</f>
        <v>27032</v>
      </c>
      <c r="P26" s="51">
        <f>45201517/45201517*7/7*3611.07*0+8/8*4106.07+10/10*1000.9+11/11*538.46+12/12*501.88</f>
        <v>6147.3099999999995</v>
      </c>
      <c r="Q26" s="33"/>
      <c r="R26" s="33"/>
      <c r="S26" s="33"/>
      <c r="T26" s="33"/>
      <c r="U26" s="33"/>
      <c r="V26" s="33"/>
      <c r="W26" s="33"/>
      <c r="X26" s="52">
        <f t="shared" si="0"/>
        <v>33179.31</v>
      </c>
      <c r="Y26" s="3">
        <f t="shared" si="1"/>
        <v>100409.35</v>
      </c>
      <c r="AA26" s="14"/>
      <c r="AB26" s="76">
        <f>1517/1517*(8750*0+2/2*17500+3/3*8750+4/4*8750+6/6*18083.34+7/7*9041.67+8/8*9041.67+9/9*8333.34+10/10*9041.66+11/11*9041.66)</f>
        <v>97583.34</v>
      </c>
      <c r="AC26" s="14"/>
      <c r="AD26" s="14"/>
      <c r="AE26" s="14"/>
      <c r="AF26" s="14">
        <f>7/7*26963.66</f>
        <v>26963.66</v>
      </c>
      <c r="AG26" s="14"/>
      <c r="AH26" s="14"/>
      <c r="AI26" s="52">
        <f t="shared" si="25"/>
        <v>124547</v>
      </c>
      <c r="AJ26" s="78">
        <f>45201517/45201517*5/5*501/501*14262*0</f>
        <v>0</v>
      </c>
      <c r="AK26" s="33"/>
      <c r="AL26" s="33"/>
      <c r="AM26" s="33">
        <f>2/2*(41/41*2613+62/62*14960)*0*3/3+6/6*3114.81*0+45201517/45201517*7/7*12770*0+11/11*27032</f>
        <v>27032</v>
      </c>
      <c r="AN26" s="76">
        <f>45201517/45201517*7/7*3611.07*0+8/8*4106.07+10/10*1000.9+11/11*538.46</f>
        <v>5645.429999999999</v>
      </c>
      <c r="AO26" s="33"/>
      <c r="AP26" s="33"/>
      <c r="AQ26" s="33"/>
      <c r="AR26" s="33"/>
      <c r="AS26" s="33"/>
      <c r="AT26" s="33"/>
      <c r="AU26" s="33"/>
      <c r="AV26" s="52">
        <f t="shared" si="2"/>
        <v>32677.43</v>
      </c>
      <c r="AW26" s="3">
        <f aca="true" t="shared" si="55" ref="AW26:AW32">AI26-AV26</f>
        <v>91869.57</v>
      </c>
      <c r="AX26" s="51">
        <f t="shared" si="26"/>
        <v>0</v>
      </c>
      <c r="AZ26" s="51">
        <f t="shared" si="33"/>
        <v>9041.660000000003</v>
      </c>
      <c r="BB26" s="51">
        <f t="shared" si="34"/>
        <v>0</v>
      </c>
      <c r="BC26" s="51">
        <f t="shared" si="35"/>
        <v>0</v>
      </c>
      <c r="BD26" s="51">
        <f t="shared" si="36"/>
        <v>0</v>
      </c>
      <c r="BF26" s="51">
        <f t="shared" si="37"/>
        <v>0</v>
      </c>
      <c r="BH26" s="51">
        <f t="shared" si="38"/>
        <v>0</v>
      </c>
      <c r="BI26" s="51">
        <f t="shared" si="39"/>
        <v>0</v>
      </c>
      <c r="BJ26" s="52">
        <f t="shared" si="52"/>
        <v>9041.660000000003</v>
      </c>
      <c r="BK26" s="51">
        <f t="shared" si="40"/>
        <v>0</v>
      </c>
      <c r="BM26" s="51">
        <f t="shared" si="41"/>
        <v>0</v>
      </c>
      <c r="BO26" s="51">
        <f t="shared" si="42"/>
        <v>0</v>
      </c>
      <c r="BP26" s="51">
        <f t="shared" si="43"/>
        <v>0</v>
      </c>
      <c r="BR26" s="51">
        <f t="shared" si="44"/>
        <v>501.8800000000001</v>
      </c>
      <c r="BT26" s="51">
        <f t="shared" si="45"/>
        <v>0</v>
      </c>
      <c r="BU26" s="51">
        <f t="shared" si="46"/>
        <v>0</v>
      </c>
      <c r="BV26" s="51">
        <f t="shared" si="47"/>
        <v>0</v>
      </c>
      <c r="BW26" s="51">
        <f t="shared" si="48"/>
        <v>0</v>
      </c>
      <c r="BX26" s="51">
        <f t="shared" si="49"/>
        <v>0</v>
      </c>
      <c r="BY26" s="51">
        <f t="shared" si="50"/>
        <v>0</v>
      </c>
      <c r="CA26" s="51">
        <f t="shared" si="51"/>
        <v>0</v>
      </c>
      <c r="CB26" s="52">
        <f t="shared" si="27"/>
        <v>501.8800000000001</v>
      </c>
      <c r="CC26" s="3">
        <f aca="true" t="shared" si="56" ref="CC26:CC32">BJ26-CB26</f>
        <v>8539.780000000002</v>
      </c>
    </row>
    <row r="27" spans="1:81" ht="12.75">
      <c r="A27" s="5" t="s">
        <v>33</v>
      </c>
      <c r="C27" s="14"/>
      <c r="D27" s="14"/>
      <c r="E27" s="14"/>
      <c r="F27" s="14"/>
      <c r="G27" s="14"/>
      <c r="H27" s="101">
        <f>3/3*8914</f>
        <v>8914</v>
      </c>
      <c r="I27" s="14"/>
      <c r="J27" s="14"/>
      <c r="K27" s="52">
        <f t="shared" si="28"/>
        <v>8914</v>
      </c>
      <c r="L27" s="51">
        <f>6/6*33277.32*0+11/11*607.6*0+12/12*668.36</f>
        <v>668.36</v>
      </c>
      <c r="M27" s="14"/>
      <c r="N27" s="14"/>
      <c r="O27" s="51">
        <f>3950*0+2/2*(41/41*(2067*0+4/4*3567*0+6/6*7353*0+7/7*8613.6*0+8/8*11359.8*0+9/9*22082.8*0+11/11*24752.8)+(61/61*(7700*0+10/10*13575)+62/62*9328))+11/11*31/31*(37648.82*0+12/12*38085.97)</f>
        <v>85741.77</v>
      </c>
      <c r="P27" s="14">
        <f>130/130*3/3*8914</f>
        <v>8914</v>
      </c>
      <c r="Q27" s="14"/>
      <c r="R27" s="14"/>
      <c r="S27" s="14"/>
      <c r="T27" s="14"/>
      <c r="U27" s="14"/>
      <c r="V27" s="14"/>
      <c r="W27" s="14"/>
      <c r="X27" s="52">
        <f t="shared" si="0"/>
        <v>95324.13</v>
      </c>
      <c r="Y27" s="3">
        <f t="shared" si="1"/>
        <v>-86410.13</v>
      </c>
      <c r="AA27" s="14"/>
      <c r="AB27" s="14"/>
      <c r="AC27" s="14"/>
      <c r="AD27" s="14"/>
      <c r="AE27" s="14"/>
      <c r="AF27" s="14">
        <f>3/3*8914</f>
        <v>8914</v>
      </c>
      <c r="AG27" s="14"/>
      <c r="AH27" s="14"/>
      <c r="AI27" s="52">
        <f t="shared" si="25"/>
        <v>8914</v>
      </c>
      <c r="AJ27" s="76">
        <f>6/6*33277.32*0+11/11*607.6</f>
        <v>607.6</v>
      </c>
      <c r="AK27" s="14"/>
      <c r="AL27" s="14"/>
      <c r="AM27" s="76">
        <f>3950*0+2/2*(41/41*(2067*0+4/4*3567*0+6/6*7353*0+7/7*8613.6*0+8/8*11359.8*0+9/9*22082.8*0+11/11*24752.8)+(61/61*(7700*0+10/10*13575)+62/62*9328))+11/11*31/31*37648.82</f>
        <v>85304.62</v>
      </c>
      <c r="AN27" s="14">
        <f>130/130*3/3*8914</f>
        <v>8914</v>
      </c>
      <c r="AO27" s="14"/>
      <c r="AP27" s="14"/>
      <c r="AQ27" s="14"/>
      <c r="AR27" s="14"/>
      <c r="AS27" s="14"/>
      <c r="AT27" s="14"/>
      <c r="AU27" s="14"/>
      <c r="AV27" s="52">
        <f t="shared" si="2"/>
        <v>94826.22</v>
      </c>
      <c r="AW27" s="3">
        <f t="shared" si="55"/>
        <v>-85912.22</v>
      </c>
      <c r="AX27" s="51">
        <f t="shared" si="26"/>
        <v>0</v>
      </c>
      <c r="AZ27" s="51">
        <f t="shared" si="33"/>
        <v>0</v>
      </c>
      <c r="BB27" s="51">
        <f t="shared" si="34"/>
        <v>0</v>
      </c>
      <c r="BC27" s="51">
        <f t="shared" si="35"/>
        <v>0</v>
      </c>
      <c r="BD27" s="51">
        <f t="shared" si="36"/>
        <v>0</v>
      </c>
      <c r="BF27" s="51">
        <f t="shared" si="37"/>
        <v>0</v>
      </c>
      <c r="BH27" s="51">
        <f t="shared" si="38"/>
        <v>0</v>
      </c>
      <c r="BI27" s="51">
        <f t="shared" si="39"/>
        <v>0</v>
      </c>
      <c r="BJ27" s="52">
        <f t="shared" si="52"/>
        <v>0</v>
      </c>
      <c r="BK27" s="51">
        <f t="shared" si="40"/>
        <v>60.75999999999999</v>
      </c>
      <c r="BM27" s="51">
        <f t="shared" si="41"/>
        <v>0</v>
      </c>
      <c r="BO27" s="51">
        <f t="shared" si="42"/>
        <v>0</v>
      </c>
      <c r="BP27" s="51">
        <f t="shared" si="43"/>
        <v>437.15000000000873</v>
      </c>
      <c r="BR27" s="51">
        <f t="shared" si="44"/>
        <v>0</v>
      </c>
      <c r="BT27" s="51">
        <f t="shared" si="45"/>
        <v>0</v>
      </c>
      <c r="BU27" s="51">
        <f t="shared" si="46"/>
        <v>0</v>
      </c>
      <c r="BV27" s="51">
        <f t="shared" si="47"/>
        <v>0</v>
      </c>
      <c r="BW27" s="51">
        <f t="shared" si="48"/>
        <v>0</v>
      </c>
      <c r="BX27" s="51">
        <f t="shared" si="49"/>
        <v>0</v>
      </c>
      <c r="BY27" s="51">
        <f t="shared" si="50"/>
        <v>0</v>
      </c>
      <c r="CA27" s="51">
        <f t="shared" si="51"/>
        <v>0</v>
      </c>
      <c r="CB27" s="52">
        <f t="shared" si="27"/>
        <v>497.9100000000087</v>
      </c>
      <c r="CC27" s="3">
        <f t="shared" si="56"/>
        <v>-497.9100000000087</v>
      </c>
    </row>
    <row r="28" spans="1:81" ht="12.75">
      <c r="A28" s="5" t="s">
        <v>39</v>
      </c>
      <c r="C28" s="14"/>
      <c r="D28" s="14"/>
      <c r="E28" s="14"/>
      <c r="F28" s="14"/>
      <c r="G28" s="14"/>
      <c r="H28" s="14"/>
      <c r="I28" s="14"/>
      <c r="J28" s="14"/>
      <c r="K28" s="2">
        <f t="shared" si="28"/>
        <v>0</v>
      </c>
      <c r="L28" s="14"/>
      <c r="M28" s="14"/>
      <c r="N28" s="14"/>
      <c r="O28" s="14"/>
      <c r="P28" s="14">
        <f>2/2*77024</f>
        <v>77024</v>
      </c>
      <c r="Q28" s="14"/>
      <c r="R28" s="14"/>
      <c r="S28" s="14"/>
      <c r="T28" s="14"/>
      <c r="U28" s="14"/>
      <c r="V28" s="14"/>
      <c r="W28" s="14"/>
      <c r="X28" s="52">
        <f t="shared" si="0"/>
        <v>77024</v>
      </c>
      <c r="Y28" s="3">
        <f t="shared" si="1"/>
        <v>-77024</v>
      </c>
      <c r="AA28" s="14"/>
      <c r="AB28" s="14"/>
      <c r="AC28" s="14"/>
      <c r="AD28" s="14"/>
      <c r="AE28" s="14"/>
      <c r="AF28" s="14"/>
      <c r="AG28" s="14"/>
      <c r="AH28" s="14"/>
      <c r="AI28" s="52">
        <f t="shared" si="25"/>
        <v>0</v>
      </c>
      <c r="AJ28" s="14"/>
      <c r="AK28" s="14"/>
      <c r="AL28" s="14"/>
      <c r="AM28" s="14"/>
      <c r="AN28" s="14">
        <f>2/2*77024</f>
        <v>77024</v>
      </c>
      <c r="AO28" s="14"/>
      <c r="AP28" s="14"/>
      <c r="AQ28" s="14"/>
      <c r="AR28" s="14"/>
      <c r="AS28" s="14"/>
      <c r="AT28" s="14"/>
      <c r="AU28" s="14"/>
      <c r="AV28" s="52">
        <f t="shared" si="2"/>
        <v>77024</v>
      </c>
      <c r="AW28" s="3">
        <f t="shared" si="55"/>
        <v>-77024</v>
      </c>
      <c r="AX28" s="51">
        <f t="shared" si="26"/>
        <v>0</v>
      </c>
      <c r="AZ28" s="51">
        <f t="shared" si="33"/>
        <v>0</v>
      </c>
      <c r="BB28" s="51">
        <f t="shared" si="34"/>
        <v>0</v>
      </c>
      <c r="BC28" s="51">
        <f t="shared" si="35"/>
        <v>0</v>
      </c>
      <c r="BD28" s="51">
        <f t="shared" si="36"/>
        <v>0</v>
      </c>
      <c r="BF28" s="51">
        <f t="shared" si="37"/>
        <v>0</v>
      </c>
      <c r="BH28" s="51">
        <f t="shared" si="38"/>
        <v>0</v>
      </c>
      <c r="BI28" s="51">
        <f t="shared" si="39"/>
        <v>0</v>
      </c>
      <c r="BJ28" s="52">
        <f t="shared" si="52"/>
        <v>0</v>
      </c>
      <c r="BK28" s="51">
        <f t="shared" si="40"/>
        <v>0</v>
      </c>
      <c r="BM28" s="51">
        <f t="shared" si="41"/>
        <v>0</v>
      </c>
      <c r="BO28" s="51">
        <f t="shared" si="42"/>
        <v>0</v>
      </c>
      <c r="BP28" s="51">
        <f t="shared" si="43"/>
        <v>0</v>
      </c>
      <c r="BR28" s="51">
        <f t="shared" si="44"/>
        <v>0</v>
      </c>
      <c r="BT28" s="51">
        <f t="shared" si="45"/>
        <v>0</v>
      </c>
      <c r="BU28" s="51">
        <f t="shared" si="46"/>
        <v>0</v>
      </c>
      <c r="BV28" s="51">
        <f t="shared" si="47"/>
        <v>0</v>
      </c>
      <c r="BW28" s="51">
        <f t="shared" si="48"/>
        <v>0</v>
      </c>
      <c r="BX28" s="51">
        <f t="shared" si="49"/>
        <v>0</v>
      </c>
      <c r="BY28" s="51">
        <f t="shared" si="50"/>
        <v>0</v>
      </c>
      <c r="CA28" s="51">
        <f t="shared" si="51"/>
        <v>0</v>
      </c>
      <c r="CB28" s="52">
        <f t="shared" si="27"/>
        <v>0</v>
      </c>
      <c r="CC28" s="3">
        <f t="shared" si="56"/>
        <v>0</v>
      </c>
    </row>
    <row r="29" spans="1:81" ht="12.75">
      <c r="A29" s="34" t="s">
        <v>55</v>
      </c>
      <c r="C29" s="14"/>
      <c r="D29" s="14"/>
      <c r="E29" s="14"/>
      <c r="F29" s="14"/>
      <c r="G29" s="14"/>
      <c r="H29" s="14"/>
      <c r="I29" s="14"/>
      <c r="J29" s="14"/>
      <c r="K29" s="2">
        <f t="shared" si="28"/>
        <v>0</v>
      </c>
      <c r="L29" s="14"/>
      <c r="M29" s="14"/>
      <c r="N29" s="14"/>
      <c r="O29" s="32">
        <f>5/5*76091</f>
        <v>76091</v>
      </c>
      <c r="P29" s="33"/>
      <c r="Q29" s="33"/>
      <c r="R29" s="33"/>
      <c r="S29" s="33"/>
      <c r="T29" s="33"/>
      <c r="U29" s="33"/>
      <c r="V29" s="33"/>
      <c r="W29" s="33"/>
      <c r="X29" s="52">
        <f t="shared" si="0"/>
        <v>76091</v>
      </c>
      <c r="Y29" s="3">
        <f t="shared" si="1"/>
        <v>-76091</v>
      </c>
      <c r="AA29" s="14"/>
      <c r="AB29" s="14"/>
      <c r="AC29" s="14"/>
      <c r="AD29" s="14"/>
      <c r="AE29" s="14"/>
      <c r="AF29" s="14"/>
      <c r="AG29" s="14"/>
      <c r="AH29" s="14"/>
      <c r="AI29" s="52">
        <f t="shared" si="25"/>
        <v>0</v>
      </c>
      <c r="AJ29" s="14"/>
      <c r="AK29" s="14"/>
      <c r="AL29" s="14"/>
      <c r="AM29" s="32">
        <f>5/5*76091</f>
        <v>76091</v>
      </c>
      <c r="AN29" s="33"/>
      <c r="AO29" s="33"/>
      <c r="AP29" s="33"/>
      <c r="AQ29" s="33"/>
      <c r="AR29" s="33"/>
      <c r="AS29" s="33"/>
      <c r="AT29" s="33"/>
      <c r="AU29" s="33"/>
      <c r="AV29" s="52">
        <f t="shared" si="2"/>
        <v>76091</v>
      </c>
      <c r="AW29" s="3">
        <f t="shared" si="55"/>
        <v>-76091</v>
      </c>
      <c r="AX29" s="51">
        <f t="shared" si="26"/>
        <v>0</v>
      </c>
      <c r="AZ29" s="51">
        <f t="shared" si="33"/>
        <v>0</v>
      </c>
      <c r="BB29" s="51">
        <f t="shared" si="34"/>
        <v>0</v>
      </c>
      <c r="BC29" s="51">
        <f t="shared" si="35"/>
        <v>0</v>
      </c>
      <c r="BD29" s="51">
        <f t="shared" si="36"/>
        <v>0</v>
      </c>
      <c r="BF29" s="51">
        <f t="shared" si="37"/>
        <v>0</v>
      </c>
      <c r="BH29" s="51">
        <f t="shared" si="38"/>
        <v>0</v>
      </c>
      <c r="BI29" s="51">
        <f t="shared" si="39"/>
        <v>0</v>
      </c>
      <c r="BJ29" s="52">
        <f t="shared" si="52"/>
        <v>0</v>
      </c>
      <c r="BK29" s="51">
        <f t="shared" si="40"/>
        <v>0</v>
      </c>
      <c r="BM29" s="51">
        <f t="shared" si="41"/>
        <v>0</v>
      </c>
      <c r="BO29" s="51">
        <f t="shared" si="42"/>
        <v>0</v>
      </c>
      <c r="BP29" s="51">
        <f t="shared" si="43"/>
        <v>0</v>
      </c>
      <c r="BR29" s="51">
        <f t="shared" si="44"/>
        <v>0</v>
      </c>
      <c r="BT29" s="51">
        <f t="shared" si="45"/>
        <v>0</v>
      </c>
      <c r="BU29" s="51">
        <f t="shared" si="46"/>
        <v>0</v>
      </c>
      <c r="BV29" s="51">
        <f t="shared" si="47"/>
        <v>0</v>
      </c>
      <c r="BW29" s="51">
        <f t="shared" si="48"/>
        <v>0</v>
      </c>
      <c r="BX29" s="51">
        <f t="shared" si="49"/>
        <v>0</v>
      </c>
      <c r="BY29" s="51">
        <f t="shared" si="50"/>
        <v>0</v>
      </c>
      <c r="CA29" s="51">
        <f t="shared" si="51"/>
        <v>0</v>
      </c>
      <c r="CB29" s="52">
        <f t="shared" si="27"/>
        <v>0</v>
      </c>
      <c r="CC29" s="3">
        <f t="shared" si="56"/>
        <v>0</v>
      </c>
    </row>
    <row r="30" spans="1:81" ht="12.75">
      <c r="A30" s="5" t="s">
        <v>40</v>
      </c>
      <c r="C30" s="14"/>
      <c r="D30" s="14"/>
      <c r="E30" s="14"/>
      <c r="F30" s="14"/>
      <c r="G30" s="14"/>
      <c r="H30" s="14"/>
      <c r="I30" s="14">
        <f>2/2*2551000</f>
        <v>2551000</v>
      </c>
      <c r="J30" s="14"/>
      <c r="K30" s="52">
        <f t="shared" si="28"/>
        <v>2551000</v>
      </c>
      <c r="L30" s="14"/>
      <c r="M30" s="14"/>
      <c r="N30" s="14"/>
      <c r="O30" s="14"/>
      <c r="P30" s="14"/>
      <c r="Q30" s="14"/>
      <c r="R30" s="14"/>
      <c r="S30" s="32">
        <f>5/5*76530</f>
        <v>76530</v>
      </c>
      <c r="T30" s="33"/>
      <c r="U30" s="33"/>
      <c r="V30" s="32">
        <f>(2551000-0)*3%-76530</f>
        <v>0</v>
      </c>
      <c r="W30" s="32">
        <f>2/2*581350*0+11/11*(553/553*445414+554/554*135936)</f>
        <v>581350</v>
      </c>
      <c r="X30" s="52">
        <f t="shared" si="0"/>
        <v>657880</v>
      </c>
      <c r="Y30" s="3">
        <f t="shared" si="1"/>
        <v>1893120</v>
      </c>
      <c r="Z30" s="21">
        <f>I30*3%</f>
        <v>76530</v>
      </c>
      <c r="AA30" s="14"/>
      <c r="AB30" s="14"/>
      <c r="AC30" s="14"/>
      <c r="AD30" s="14"/>
      <c r="AE30" s="14"/>
      <c r="AF30" s="14"/>
      <c r="AG30" s="14">
        <f>2/2*2551000</f>
        <v>2551000</v>
      </c>
      <c r="AH30" s="14"/>
      <c r="AI30" s="52">
        <f t="shared" si="25"/>
        <v>2551000</v>
      </c>
      <c r="AJ30" s="14"/>
      <c r="AK30" s="14"/>
      <c r="AL30" s="14"/>
      <c r="AM30" s="14"/>
      <c r="AN30" s="14"/>
      <c r="AO30" s="14"/>
      <c r="AP30" s="14"/>
      <c r="AQ30" s="32">
        <f>5/5*76530</f>
        <v>76530</v>
      </c>
      <c r="AR30" s="33"/>
      <c r="AS30" s="33"/>
      <c r="AT30" s="32">
        <f>(2551000-0)*3%-76530</f>
        <v>0</v>
      </c>
      <c r="AU30" s="78">
        <f>2/2*581350*0+11/11*(553/553*445414+554/554*135936)</f>
        <v>581350</v>
      </c>
      <c r="AV30" s="52">
        <f t="shared" si="2"/>
        <v>657880</v>
      </c>
      <c r="AW30" s="3">
        <f t="shared" si="55"/>
        <v>1893120</v>
      </c>
      <c r="AX30" s="51">
        <f t="shared" si="26"/>
        <v>0</v>
      </c>
      <c r="AZ30" s="51">
        <f t="shared" si="33"/>
        <v>0</v>
      </c>
      <c r="BB30" s="51">
        <f t="shared" si="34"/>
        <v>0</v>
      </c>
      <c r="BC30" s="51">
        <f t="shared" si="35"/>
        <v>0</v>
      </c>
      <c r="BD30" s="51">
        <f t="shared" si="36"/>
        <v>0</v>
      </c>
      <c r="BF30" s="51">
        <f t="shared" si="37"/>
        <v>0</v>
      </c>
      <c r="BH30" s="51">
        <f t="shared" si="38"/>
        <v>0</v>
      </c>
      <c r="BI30" s="51">
        <f t="shared" si="39"/>
        <v>0</v>
      </c>
      <c r="BJ30" s="52">
        <f t="shared" si="52"/>
        <v>0</v>
      </c>
      <c r="BK30" s="51">
        <f t="shared" si="40"/>
        <v>0</v>
      </c>
      <c r="BM30" s="51">
        <f t="shared" si="41"/>
        <v>0</v>
      </c>
      <c r="BO30" s="51">
        <f t="shared" si="42"/>
        <v>0</v>
      </c>
      <c r="BP30" s="51">
        <f t="shared" si="43"/>
        <v>0</v>
      </c>
      <c r="BR30" s="51">
        <f t="shared" si="44"/>
        <v>0</v>
      </c>
      <c r="BT30" s="51">
        <f t="shared" si="45"/>
        <v>0</v>
      </c>
      <c r="BU30" s="51">
        <f t="shared" si="46"/>
        <v>0</v>
      </c>
      <c r="BV30" s="51">
        <f t="shared" si="47"/>
        <v>0</v>
      </c>
      <c r="BW30" s="51">
        <f t="shared" si="48"/>
        <v>0</v>
      </c>
      <c r="BX30" s="51">
        <f t="shared" si="49"/>
        <v>0</v>
      </c>
      <c r="BY30" s="51">
        <f t="shared" si="50"/>
        <v>0</v>
      </c>
      <c r="CA30" s="51">
        <f t="shared" si="51"/>
        <v>0</v>
      </c>
      <c r="CB30" s="52">
        <f t="shared" si="27"/>
        <v>0</v>
      </c>
      <c r="CC30" s="3">
        <f t="shared" si="56"/>
        <v>0</v>
      </c>
    </row>
    <row r="31" spans="1:81" ht="12.75">
      <c r="A31" s="13" t="s">
        <v>64</v>
      </c>
      <c r="C31" s="14"/>
      <c r="D31" s="14"/>
      <c r="E31" s="14"/>
      <c r="F31" s="14"/>
      <c r="G31" s="14"/>
      <c r="H31" s="14"/>
      <c r="I31" s="14">
        <v>5462600</v>
      </c>
      <c r="J31" s="14"/>
      <c r="K31" s="52">
        <f t="shared" si="28"/>
        <v>5462600</v>
      </c>
      <c r="L31" s="14"/>
      <c r="M31" s="14"/>
      <c r="N31" s="14"/>
      <c r="O31" s="14"/>
      <c r="P31" s="14"/>
      <c r="Q31" s="14"/>
      <c r="R31" s="14"/>
      <c r="S31" s="32">
        <f>5/5*163860+8/8*18</f>
        <v>163878</v>
      </c>
      <c r="T31" s="33"/>
      <c r="U31" s="33"/>
      <c r="V31" s="32">
        <f>(5462600-600)*3%-163860+549/549*11/11*-1</f>
        <v>-1</v>
      </c>
      <c r="W31" s="33">
        <f>1016721*0+11/11*(553/553*884801+554/554*131920)</f>
        <v>1016721</v>
      </c>
      <c r="X31" s="52">
        <f t="shared" si="0"/>
        <v>1180598</v>
      </c>
      <c r="Y31" s="3">
        <f t="shared" si="1"/>
        <v>4282002</v>
      </c>
      <c r="Z31" s="21">
        <f>(I31-600)*3%</f>
        <v>163860</v>
      </c>
      <c r="AA31" s="14"/>
      <c r="AB31" s="14"/>
      <c r="AC31" s="14"/>
      <c r="AD31" s="14"/>
      <c r="AE31" s="14"/>
      <c r="AF31" s="14"/>
      <c r="AG31" s="14">
        <v>5462600</v>
      </c>
      <c r="AH31" s="14"/>
      <c r="AI31" s="52">
        <f t="shared" si="25"/>
        <v>5462600</v>
      </c>
      <c r="AJ31" s="14"/>
      <c r="AK31" s="14"/>
      <c r="AL31" s="14"/>
      <c r="AM31" s="14"/>
      <c r="AN31" s="14"/>
      <c r="AO31" s="14"/>
      <c r="AP31" s="14"/>
      <c r="AQ31" s="32">
        <f>5/5*163860+8/8*18</f>
        <v>163878</v>
      </c>
      <c r="AR31" s="33"/>
      <c r="AS31" s="33"/>
      <c r="AT31" s="32">
        <f>(5462600-600)*3%-163860+549/549*11/11*-1</f>
        <v>-1</v>
      </c>
      <c r="AU31" s="33">
        <f>1016721*0+11/11*(553/553*884801+554/554*131920)</f>
        <v>1016721</v>
      </c>
      <c r="AV31" s="52">
        <f t="shared" si="2"/>
        <v>1180598</v>
      </c>
      <c r="AW31" s="3">
        <f t="shared" si="55"/>
        <v>4282002</v>
      </c>
      <c r="AX31" s="51">
        <f>C31-AA31</f>
        <v>0</v>
      </c>
      <c r="AZ31" s="51">
        <f t="shared" si="33"/>
        <v>0</v>
      </c>
      <c r="BB31" s="51">
        <f t="shared" si="34"/>
        <v>0</v>
      </c>
      <c r="BC31" s="51">
        <f t="shared" si="35"/>
        <v>0</v>
      </c>
      <c r="BD31" s="51">
        <f t="shared" si="36"/>
        <v>0</v>
      </c>
      <c r="BF31" s="51">
        <f t="shared" si="37"/>
        <v>0</v>
      </c>
      <c r="BH31" s="51">
        <f t="shared" si="38"/>
        <v>0</v>
      </c>
      <c r="BI31" s="51">
        <f t="shared" si="39"/>
        <v>0</v>
      </c>
      <c r="BJ31" s="52">
        <f t="shared" si="52"/>
        <v>0</v>
      </c>
      <c r="BK31" s="51">
        <f t="shared" si="40"/>
        <v>0</v>
      </c>
      <c r="BM31" s="51">
        <f t="shared" si="41"/>
        <v>0</v>
      </c>
      <c r="BO31" s="51">
        <f t="shared" si="42"/>
        <v>0</v>
      </c>
      <c r="BP31" s="51">
        <f t="shared" si="43"/>
        <v>0</v>
      </c>
      <c r="BR31" s="51">
        <f t="shared" si="44"/>
        <v>0</v>
      </c>
      <c r="BT31" s="51">
        <f t="shared" si="45"/>
        <v>0</v>
      </c>
      <c r="BU31" s="51">
        <f t="shared" si="46"/>
        <v>0</v>
      </c>
      <c r="BV31" s="51">
        <f t="shared" si="47"/>
        <v>0</v>
      </c>
      <c r="BW31" s="51">
        <f t="shared" si="48"/>
        <v>0</v>
      </c>
      <c r="BX31" s="51">
        <f t="shared" si="49"/>
        <v>0</v>
      </c>
      <c r="BY31" s="51">
        <f t="shared" si="50"/>
        <v>0</v>
      </c>
      <c r="CA31" s="51">
        <f t="shared" si="51"/>
        <v>0</v>
      </c>
      <c r="CB31" s="52">
        <f t="shared" si="27"/>
        <v>0</v>
      </c>
      <c r="CC31" s="3">
        <f t="shared" si="56"/>
        <v>0</v>
      </c>
    </row>
    <row r="32" spans="1:81" ht="12.75">
      <c r="A32" s="5" t="s">
        <v>21</v>
      </c>
      <c r="C32" s="51">
        <f>22273.64*0+2/2*55345.46*0+3/3*113531.82*0+4/4*158560.6*0+5/5*242816.96*0+6/6*274561.51*0+7/7*280796.06*0+8/8*300182.42*0+9/9*353214.24*0+10/10*411773.33*0+11/11*452267.27*0+12/12*466619.09+1/1*(2848.18*0+2/2*4777.27*0+3/3*6724.54*0+7769.09*0+5/5*8259.09*0+7/7*9270*0)</f>
        <v>466619.09</v>
      </c>
      <c r="D32" s="14">
        <f>6/6*1666.67</f>
        <v>1666.67</v>
      </c>
      <c r="E32" s="51">
        <f>3/3*1200*0+2563.64*0+9/9*3427.28*0+12/12*5336.37</f>
        <v>5336.37</v>
      </c>
      <c r="F32" s="14"/>
      <c r="G32" s="14"/>
      <c r="H32" s="14">
        <f>4/4*4200*0</f>
        <v>0</v>
      </c>
      <c r="I32" s="14"/>
      <c r="J32" s="14"/>
      <c r="K32" s="52">
        <f t="shared" si="28"/>
        <v>473622.13</v>
      </c>
      <c r="L32" s="14"/>
      <c r="M32" s="14"/>
      <c r="N32" s="14"/>
      <c r="O32" s="14"/>
      <c r="P32" s="53">
        <f>10486.77*0+2/2*33607.67*0+3/3*(58428.83+1/1*2539)*0+4/4*(83484.19+1/1*3179)*0+5/5*(128452.05+1/1*4053*0*6/6)*0+6/6*155723.94*0+7/7*168067.27*0+8/8*176717.7*0+9/9*199393.31*0+10/10*234562.57*0+11/11*260506.55*0+12/12*271910.48</f>
        <v>271910.48</v>
      </c>
      <c r="Q32" s="51">
        <f>4/4*70944*0+7/7*146762*0+11/11*225469*0+12/12*302061</f>
        <v>302061</v>
      </c>
      <c r="R32" s="51">
        <f>4/4*24124*0+7/7*49905*0+11/11*76668*0+12/12*102711</f>
        <v>102711</v>
      </c>
      <c r="S32" s="33"/>
      <c r="T32" s="33"/>
      <c r="U32" s="33"/>
      <c r="V32" s="53">
        <f>549/549*(0.51*0+2/2*0.75*0+3/3*0.26*0+4/4*0.82*0+5/5*1.24*0+6/6*1.13*0+8/8*1.09*0+9/9*0.61*0+11/11*0.58*0+12/12*0.1)</f>
        <v>0.1</v>
      </c>
      <c r="W32" s="33"/>
      <c r="X32" s="52">
        <f>SUM(L32:W32)</f>
        <v>676682.58</v>
      </c>
      <c r="Y32" s="3">
        <f t="shared" si="1"/>
        <v>-203060.44999999995</v>
      </c>
      <c r="AA32" s="76">
        <f>22273.64*0+2/2*55345.46*0+3/3*113531.82*0+4/4*158560.6*0+5/5*242816.96*0+6/6*274561.51*0+7/7*280796.06*0+8/8*300182.42*0+9/9*353214.24*0+10/10*411773.33*0+11/11*452267.27+1/1*(2848.18*0+2/2*4777.27*0+3/3*6724.54*0+7769.09*0+5/5*8259.09*0+7/7*9270*0)</f>
        <v>452267.27</v>
      </c>
      <c r="AB32" s="14">
        <f>6/6*1666.67</f>
        <v>1666.67</v>
      </c>
      <c r="AC32" s="14">
        <f>3/3*1200*0+2563.64*0+9/9*3427.28</f>
        <v>3427.28</v>
      </c>
      <c r="AD32" s="14"/>
      <c r="AE32" s="14"/>
      <c r="AF32" s="14">
        <f>4/4*4200*0</f>
        <v>0</v>
      </c>
      <c r="AG32" s="14"/>
      <c r="AH32" s="14"/>
      <c r="AI32" s="52">
        <f t="shared" si="25"/>
        <v>457361.22000000003</v>
      </c>
      <c r="AJ32" s="14"/>
      <c r="AK32" s="14"/>
      <c r="AL32" s="14"/>
      <c r="AM32" s="14"/>
      <c r="AN32" s="78">
        <f>10486.77*0+2/2*33607.67*0+3/3*(58428.83+1/1*2539)*0+4/4*(83484.19+1/1*3179)*0+5/5*(128452.05+1/1*4053*0*6/6)*0+6/6*155723.94*0+7/7*168067.27*0+8/8*176717.7*0+9/9*199393.31*0+10/10*234562.57*0+11/11*260506.55</f>
        <v>260506.55</v>
      </c>
      <c r="AO32" s="76">
        <f>4/4*70944*0+7/7*146762*0+11/11*225469</f>
        <v>225469</v>
      </c>
      <c r="AP32" s="76">
        <f>4/4*24124*0+7/7*49905*0+11/11*76668</f>
        <v>76668</v>
      </c>
      <c r="AQ32" s="33"/>
      <c r="AR32" s="33"/>
      <c r="AS32" s="33"/>
      <c r="AT32" s="78">
        <f>549/549*(0.51*0+2/2*0.75*0+3/3*0.26*0+4/4*0.82*0+5/5*1.24*0+6/6*1.13*0+8/8*1.09*0+9/9*0.61*0+11/11*0.58)</f>
        <v>0.58</v>
      </c>
      <c r="AU32" s="33"/>
      <c r="AV32" s="52">
        <f t="shared" si="2"/>
        <v>562644.13</v>
      </c>
      <c r="AW32" s="3">
        <f t="shared" si="55"/>
        <v>-105282.90999999997</v>
      </c>
      <c r="AX32" s="51">
        <f t="shared" si="26"/>
        <v>14351.820000000007</v>
      </c>
      <c r="AZ32" s="51">
        <f t="shared" si="33"/>
        <v>0</v>
      </c>
      <c r="BB32" s="51">
        <f t="shared" si="34"/>
        <v>1909.0899999999997</v>
      </c>
      <c r="BC32" s="51">
        <f t="shared" si="35"/>
        <v>0</v>
      </c>
      <c r="BD32" s="51">
        <f t="shared" si="36"/>
        <v>0</v>
      </c>
      <c r="BF32" s="51">
        <f t="shared" si="37"/>
        <v>0</v>
      </c>
      <c r="BH32" s="51">
        <f t="shared" si="38"/>
        <v>0</v>
      </c>
      <c r="BI32" s="51">
        <f t="shared" si="39"/>
        <v>0</v>
      </c>
      <c r="BJ32" s="52">
        <f t="shared" si="52"/>
        <v>16260.910000000007</v>
      </c>
      <c r="BK32" s="51">
        <f t="shared" si="40"/>
        <v>0</v>
      </c>
      <c r="BM32" s="51">
        <f t="shared" si="41"/>
        <v>0</v>
      </c>
      <c r="BO32" s="51">
        <f t="shared" si="42"/>
        <v>0</v>
      </c>
      <c r="BP32" s="51">
        <f t="shared" si="43"/>
        <v>0</v>
      </c>
      <c r="BR32" s="51">
        <f t="shared" si="44"/>
        <v>11403.929999999993</v>
      </c>
      <c r="BT32" s="51">
        <f t="shared" si="45"/>
        <v>76592</v>
      </c>
      <c r="BU32" s="51">
        <f t="shared" si="46"/>
        <v>26043</v>
      </c>
      <c r="BV32" s="51">
        <f t="shared" si="47"/>
        <v>0</v>
      </c>
      <c r="BW32" s="51">
        <f t="shared" si="48"/>
        <v>0</v>
      </c>
      <c r="BX32" s="51">
        <f t="shared" si="49"/>
        <v>0</v>
      </c>
      <c r="BY32" s="51">
        <f t="shared" si="50"/>
        <v>-0.48</v>
      </c>
      <c r="CA32" s="51">
        <f t="shared" si="51"/>
        <v>0</v>
      </c>
      <c r="CB32" s="52">
        <f t="shared" si="27"/>
        <v>114038.45</v>
      </c>
      <c r="CC32" s="3">
        <f t="shared" si="56"/>
        <v>-97777.54</v>
      </c>
    </row>
    <row r="33" spans="1:81" ht="12.75">
      <c r="A33" s="35" t="s">
        <v>56</v>
      </c>
      <c r="C33" s="51">
        <f>1/1*(2848.18*0+2/2*4777.27*0+3/3*6724.54*0+7769.09*0+5/5*8259.09*0+6/6*9270*0+8/8*9743.64*0+9/9*10431.82*0+10/10*11468.18*0+11/11*13085.45*0+12/12*13878.18)</f>
        <v>13878.18</v>
      </c>
      <c r="D33" s="14"/>
      <c r="E33" s="14"/>
      <c r="F33" s="14"/>
      <c r="G33" s="14"/>
      <c r="H33" s="101">
        <f>4/4*4200+9/9*900</f>
        <v>5100</v>
      </c>
      <c r="I33" s="14"/>
      <c r="J33" s="14"/>
      <c r="K33" s="52">
        <f t="shared" si="28"/>
        <v>18978.18</v>
      </c>
      <c r="L33" s="14"/>
      <c r="M33" s="14"/>
      <c r="N33" s="14"/>
      <c r="O33" s="14"/>
      <c r="P33" s="53">
        <f>3/3*2539*0+4/4*3179*0+5/5*4053*0+6/6*4927*0+7/7*5410*0+10/10*6328*0+11/11*7090*0+12/12*8185</f>
        <v>8185</v>
      </c>
      <c r="Q33" s="33"/>
      <c r="R33" s="33"/>
      <c r="S33" s="33"/>
      <c r="T33" s="33"/>
      <c r="U33" s="33"/>
      <c r="V33" s="32"/>
      <c r="W33" s="33"/>
      <c r="X33" s="52">
        <f>SUM(L33:W33)</f>
        <v>8185</v>
      </c>
      <c r="Y33" s="3">
        <f>K33-X33</f>
        <v>10793.18</v>
      </c>
      <c r="AA33" s="76">
        <f>1/1*(2848.18*0+2/2*4777.27*0+3/3*6724.54*0+7769.09*0+5/5*8259.09*0+6/6*9270*0+8/8*9743.64*0+9/9*10431.82*0+10/10*11468.18*0+11/11*13085.45)</f>
        <v>13085.45</v>
      </c>
      <c r="AB33" s="14"/>
      <c r="AC33" s="14"/>
      <c r="AD33" s="14"/>
      <c r="AE33" s="14"/>
      <c r="AF33" s="14">
        <f>4/4*4200+9/9*900</f>
        <v>5100</v>
      </c>
      <c r="AG33" s="14"/>
      <c r="AH33" s="14"/>
      <c r="AI33" s="52">
        <f t="shared" si="25"/>
        <v>18185.45</v>
      </c>
      <c r="AJ33" s="14"/>
      <c r="AK33" s="14"/>
      <c r="AL33" s="14"/>
      <c r="AM33" s="14"/>
      <c r="AN33" s="78">
        <f>3/3*2539*0+4/4*3179*0+5/5*4053*0+6/6*4927*0+7/7*5410*0+10/10*6328*0+11/11*7090</f>
        <v>7090</v>
      </c>
      <c r="AO33" s="33"/>
      <c r="AP33" s="33"/>
      <c r="AQ33" s="33"/>
      <c r="AR33" s="33"/>
      <c r="AS33" s="33"/>
      <c r="AT33" s="32"/>
      <c r="AU33" s="33"/>
      <c r="AV33" s="52">
        <f t="shared" si="2"/>
        <v>7090</v>
      </c>
      <c r="AW33" s="3">
        <f>AI33-AV33</f>
        <v>11095.45</v>
      </c>
      <c r="AX33" s="51">
        <f t="shared" si="26"/>
        <v>792.7299999999996</v>
      </c>
      <c r="AZ33" s="51">
        <f t="shared" si="33"/>
        <v>0</v>
      </c>
      <c r="BB33" s="51">
        <f t="shared" si="34"/>
        <v>0</v>
      </c>
      <c r="BC33" s="51">
        <f t="shared" si="35"/>
        <v>0</v>
      </c>
      <c r="BD33" s="51">
        <f t="shared" si="36"/>
        <v>0</v>
      </c>
      <c r="BF33" s="51">
        <f t="shared" si="37"/>
        <v>0</v>
      </c>
      <c r="BH33" s="51">
        <f t="shared" si="38"/>
        <v>0</v>
      </c>
      <c r="BI33" s="51">
        <f t="shared" si="39"/>
        <v>0</v>
      </c>
      <c r="BJ33" s="52">
        <f t="shared" si="52"/>
        <v>792.7299999999996</v>
      </c>
      <c r="BK33" s="51">
        <f t="shared" si="40"/>
        <v>0</v>
      </c>
      <c r="BM33" s="51">
        <f t="shared" si="41"/>
        <v>0</v>
      </c>
      <c r="BO33" s="51">
        <f t="shared" si="42"/>
        <v>0</v>
      </c>
      <c r="BP33" s="51">
        <f t="shared" si="43"/>
        <v>0</v>
      </c>
      <c r="BR33" s="51">
        <f t="shared" si="44"/>
        <v>1095</v>
      </c>
      <c r="BT33" s="51">
        <f t="shared" si="45"/>
        <v>0</v>
      </c>
      <c r="BU33" s="51">
        <f t="shared" si="46"/>
        <v>0</v>
      </c>
      <c r="BV33" s="51">
        <f t="shared" si="47"/>
        <v>0</v>
      </c>
      <c r="BW33" s="51">
        <f t="shared" si="48"/>
        <v>0</v>
      </c>
      <c r="BX33" s="51">
        <f t="shared" si="49"/>
        <v>0</v>
      </c>
      <c r="BY33" s="51">
        <f t="shared" si="50"/>
        <v>0</v>
      </c>
      <c r="CA33" s="51">
        <f t="shared" si="51"/>
        <v>0</v>
      </c>
      <c r="CB33" s="52">
        <f t="shared" si="27"/>
        <v>1095</v>
      </c>
      <c r="CC33" s="3">
        <f>BJ33-CB33</f>
        <v>-302.27000000000044</v>
      </c>
    </row>
    <row r="34" spans="1:81" ht="12.75">
      <c r="A34" s="5" t="s">
        <v>22</v>
      </c>
      <c r="C34" s="14"/>
      <c r="D34" s="14"/>
      <c r="E34" s="51">
        <f>3/3*2233.64*0+6/6*4388.19*0+9/9*5697.28*0+12/12*7642.73</f>
        <v>7642.73</v>
      </c>
      <c r="F34" s="14"/>
      <c r="G34" s="14"/>
      <c r="H34" s="14"/>
      <c r="I34" s="14"/>
      <c r="J34" s="14"/>
      <c r="K34" s="52">
        <f>SUM(B34:J34)</f>
        <v>7642.73</v>
      </c>
      <c r="L34" s="14"/>
      <c r="M34" s="14"/>
      <c r="N34" s="14"/>
      <c r="O34" s="14"/>
      <c r="P34" s="53">
        <f>500+2/2*500+3/3*500+4/4*500+5/5*500+6/6*500+7/7*500+9/9*500+10/10*500+11/11*500+12/12*500</f>
        <v>5500</v>
      </c>
      <c r="Q34" s="33"/>
      <c r="R34" s="33"/>
      <c r="S34" s="33"/>
      <c r="T34" s="33"/>
      <c r="U34" s="33"/>
      <c r="V34" s="33"/>
      <c r="W34" s="33"/>
      <c r="X34" s="52">
        <f t="shared" si="0"/>
        <v>5500</v>
      </c>
      <c r="Y34" s="3">
        <f t="shared" si="1"/>
        <v>2142.7299999999996</v>
      </c>
      <c r="AA34" s="14"/>
      <c r="AB34" s="14"/>
      <c r="AC34" s="14">
        <f>3/3*2233.64*0+6/6*4388.19*0+9/9*5697.28</f>
        <v>5697.28</v>
      </c>
      <c r="AD34" s="14"/>
      <c r="AE34" s="14"/>
      <c r="AF34" s="14"/>
      <c r="AG34" s="14"/>
      <c r="AH34" s="14"/>
      <c r="AI34" s="52">
        <f t="shared" si="25"/>
        <v>5697.28</v>
      </c>
      <c r="AJ34" s="14"/>
      <c r="AK34" s="14"/>
      <c r="AL34" s="14"/>
      <c r="AM34" s="14"/>
      <c r="AN34" s="78">
        <f>500+2/2*500+3/3*500+4/4*500+5/5*500+6/6*500+7/7*500+9/9*500+10/10*500+11/11*500</f>
        <v>5000</v>
      </c>
      <c r="AO34" s="33"/>
      <c r="AP34" s="33"/>
      <c r="AQ34" s="33"/>
      <c r="AR34" s="33"/>
      <c r="AS34" s="33"/>
      <c r="AT34" s="33"/>
      <c r="AU34" s="33"/>
      <c r="AV34" s="52">
        <f t="shared" si="2"/>
        <v>5000</v>
      </c>
      <c r="AW34" s="3">
        <f aca="true" t="shared" si="57" ref="AW34:AW42">AI34-AV34</f>
        <v>697.2799999999997</v>
      </c>
      <c r="AX34" s="51">
        <f t="shared" si="26"/>
        <v>0</v>
      </c>
      <c r="AZ34" s="51">
        <f t="shared" si="33"/>
        <v>0</v>
      </c>
      <c r="BB34" s="51">
        <f t="shared" si="34"/>
        <v>1945.4499999999998</v>
      </c>
      <c r="BC34" s="51">
        <f t="shared" si="35"/>
        <v>0</v>
      </c>
      <c r="BD34" s="51">
        <f t="shared" si="36"/>
        <v>0</v>
      </c>
      <c r="BF34" s="51">
        <f t="shared" si="37"/>
        <v>0</v>
      </c>
      <c r="BH34" s="51">
        <f t="shared" si="38"/>
        <v>0</v>
      </c>
      <c r="BI34" s="51">
        <f t="shared" si="39"/>
        <v>0</v>
      </c>
      <c r="BJ34" s="52">
        <f t="shared" si="52"/>
        <v>1945.4499999999998</v>
      </c>
      <c r="BK34" s="51">
        <f t="shared" si="40"/>
        <v>0</v>
      </c>
      <c r="BM34" s="51">
        <f t="shared" si="41"/>
        <v>0</v>
      </c>
      <c r="BO34" s="51">
        <f t="shared" si="42"/>
        <v>0</v>
      </c>
      <c r="BP34" s="51">
        <f t="shared" si="43"/>
        <v>0</v>
      </c>
      <c r="BR34" s="51">
        <f t="shared" si="44"/>
        <v>500</v>
      </c>
      <c r="BT34" s="51">
        <f t="shared" si="45"/>
        <v>0</v>
      </c>
      <c r="BU34" s="51">
        <f t="shared" si="46"/>
        <v>0</v>
      </c>
      <c r="BV34" s="51">
        <f t="shared" si="47"/>
        <v>0</v>
      </c>
      <c r="BW34" s="51">
        <f t="shared" si="48"/>
        <v>0</v>
      </c>
      <c r="BX34" s="51">
        <f t="shared" si="49"/>
        <v>0</v>
      </c>
      <c r="BY34" s="51">
        <f t="shared" si="50"/>
        <v>0</v>
      </c>
      <c r="CA34" s="51">
        <f t="shared" si="51"/>
        <v>0</v>
      </c>
      <c r="CB34" s="52">
        <f t="shared" si="27"/>
        <v>500</v>
      </c>
      <c r="CC34" s="3">
        <f aca="true" t="shared" si="58" ref="CC34:CC42">BJ34-CB34</f>
        <v>1445.4499999999998</v>
      </c>
    </row>
    <row r="35" spans="1:81" ht="12.75">
      <c r="A35" s="5" t="s">
        <v>23</v>
      </c>
      <c r="C35" s="53">
        <f>3000*0+2/2*61050*0*3/3+5/5*7585.77*0+9/9*11803.95*0+10/10*12822.13*0+11/11*31567.58*0+12/12*35094.86</f>
        <v>35094.86</v>
      </c>
      <c r="D35" s="53">
        <f>3000*0+2/2*61050*0+3/3*63008.33*0+4/4*73341.66*0+5/5*79358.28*0+6/6*79983.28*0+7/7*92483.28*0+9/9*122283.28*0+10/10*148983.28*0+11/11*156016.61*0+12/12*176716.61</f>
        <v>176716.61</v>
      </c>
      <c r="E35" s="33"/>
      <c r="F35" s="33"/>
      <c r="G35" s="33"/>
      <c r="H35" s="33"/>
      <c r="I35" s="33"/>
      <c r="J35" s="33"/>
      <c r="K35" s="52">
        <f t="shared" si="28"/>
        <v>211811.46999999997</v>
      </c>
      <c r="L35" s="32">
        <f>5/5*1450*0+11/11*4559.89</f>
        <v>4559.89</v>
      </c>
      <c r="M35" s="33"/>
      <c r="N35" s="33"/>
      <c r="O35" s="33"/>
      <c r="P35" s="51">
        <f>9/9*3000*0+11/11*8000*0+12/12*12440.8</f>
        <v>12440.8</v>
      </c>
      <c r="Q35" s="51">
        <f>4/4*29535*0+7/7*67470*0+11/11*110700*0+12/12*160302</f>
        <v>160302</v>
      </c>
      <c r="R35" s="51">
        <f>4/4*10042*0+7/7*22941*0+11/11*37640*0+12/12*54506</f>
        <v>54506</v>
      </c>
      <c r="S35" s="33"/>
      <c r="T35" s="33"/>
      <c r="U35" s="33"/>
      <c r="V35" s="33"/>
      <c r="W35" s="33"/>
      <c r="X35" s="52">
        <f t="shared" si="0"/>
        <v>231808.69</v>
      </c>
      <c r="Y35" s="3">
        <f t="shared" si="1"/>
        <v>-19997.22000000003</v>
      </c>
      <c r="AA35" s="78">
        <f>3000*0+2/2*61050*0*3/3+5/5*7585.77*0+9/9*11803.95*0+10/10*12822.13*0+11/11*31567.58</f>
        <v>31567.58</v>
      </c>
      <c r="AB35" s="78">
        <f>3000*0+2/2*61050*0+3/3*63008.33*0+4/4*73341.66*0+5/5*79358.28*0+6/6*79983.28*0+7/7*92483.28*0+9/9*122283.28*0+10/10*148983.28*0+11/11*156016.61</f>
        <v>156016.61</v>
      </c>
      <c r="AC35" s="33"/>
      <c r="AD35" s="33"/>
      <c r="AE35" s="33"/>
      <c r="AF35" s="33"/>
      <c r="AG35" s="33"/>
      <c r="AH35" s="33"/>
      <c r="AI35" s="52">
        <f t="shared" si="25"/>
        <v>187584.19</v>
      </c>
      <c r="AJ35" s="78">
        <f>5/5*1450*0+11/11*4559.89</f>
        <v>4559.89</v>
      </c>
      <c r="AK35" s="33"/>
      <c r="AL35" s="33"/>
      <c r="AM35" s="33"/>
      <c r="AN35" s="76">
        <f>9/9*3000*0+11/11*8000</f>
        <v>8000</v>
      </c>
      <c r="AO35" s="76">
        <f>4/4*29535*0+7/7*67470*0+11/11*110700</f>
        <v>110700</v>
      </c>
      <c r="AP35" s="76">
        <f>4/4*10042*0+7/7*22941*0+11/11*37640</f>
        <v>37640</v>
      </c>
      <c r="AQ35" s="33"/>
      <c r="AR35" s="33"/>
      <c r="AS35" s="33"/>
      <c r="AT35" s="33"/>
      <c r="AU35" s="33"/>
      <c r="AV35" s="52">
        <f aca="true" t="shared" si="59" ref="AV35:AV56">SUM(AJ35:AU35)</f>
        <v>160899.89</v>
      </c>
      <c r="AW35" s="3">
        <f t="shared" si="57"/>
        <v>26684.29999999999</v>
      </c>
      <c r="AX35" s="51">
        <f t="shared" si="26"/>
        <v>3527.279999999999</v>
      </c>
      <c r="AZ35" s="51">
        <f t="shared" si="33"/>
        <v>20700</v>
      </c>
      <c r="BB35" s="51">
        <f t="shared" si="34"/>
        <v>0</v>
      </c>
      <c r="BC35" s="51">
        <f t="shared" si="35"/>
        <v>0</v>
      </c>
      <c r="BD35" s="51">
        <f t="shared" si="36"/>
        <v>0</v>
      </c>
      <c r="BF35" s="51">
        <f t="shared" si="37"/>
        <v>0</v>
      </c>
      <c r="BH35" s="51">
        <f t="shared" si="38"/>
        <v>0</v>
      </c>
      <c r="BI35" s="51">
        <f t="shared" si="39"/>
        <v>0</v>
      </c>
      <c r="BJ35" s="52">
        <f>SUM(AX35,AZ35,BB35,BC35,BF35,BH35,BI35)</f>
        <v>24227.28</v>
      </c>
      <c r="BK35" s="51">
        <f t="shared" si="40"/>
        <v>0</v>
      </c>
      <c r="BM35" s="51">
        <f t="shared" si="41"/>
        <v>0</v>
      </c>
      <c r="BO35" s="51">
        <f t="shared" si="42"/>
        <v>0</v>
      </c>
      <c r="BP35" s="51">
        <f t="shared" si="43"/>
        <v>0</v>
      </c>
      <c r="BR35" s="51">
        <f t="shared" si="44"/>
        <v>4440.799999999999</v>
      </c>
      <c r="BT35" s="51">
        <f t="shared" si="45"/>
        <v>49602</v>
      </c>
      <c r="BU35" s="51">
        <f t="shared" si="46"/>
        <v>16866</v>
      </c>
      <c r="BV35" s="51">
        <f t="shared" si="47"/>
        <v>0</v>
      </c>
      <c r="BW35" s="51">
        <f t="shared" si="48"/>
        <v>0</v>
      </c>
      <c r="BX35" s="51">
        <f t="shared" si="49"/>
        <v>0</v>
      </c>
      <c r="BY35" s="51">
        <f t="shared" si="50"/>
        <v>0</v>
      </c>
      <c r="CA35" s="51">
        <f t="shared" si="51"/>
        <v>0</v>
      </c>
      <c r="CB35" s="52">
        <f t="shared" si="27"/>
        <v>70908.8</v>
      </c>
      <c r="CC35" s="3">
        <f t="shared" si="58"/>
        <v>-46681.520000000004</v>
      </c>
    </row>
    <row r="36" spans="1:81" ht="12.75">
      <c r="A36" s="5" t="s">
        <v>24</v>
      </c>
      <c r="C36" s="14"/>
      <c r="D36" s="53">
        <f>5322*0+2/2*7656*0+3/3*12906*0+4/4*15342*0+5/5*19758*0+6/6*24474*0+7/7*28542*0+8/8*31140*0+9/9*33048*0+10/10*38550*0+11/11*45402*0+12/12*66152</f>
        <v>66152</v>
      </c>
      <c r="E36" s="33"/>
      <c r="F36" s="33"/>
      <c r="G36" s="33"/>
      <c r="H36" s="33"/>
      <c r="I36" s="33"/>
      <c r="J36" s="33"/>
      <c r="K36" s="52">
        <f t="shared" si="28"/>
        <v>66152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">
        <f t="shared" si="0"/>
        <v>0</v>
      </c>
      <c r="Y36" s="3">
        <f t="shared" si="1"/>
        <v>66152</v>
      </c>
      <c r="AA36" s="14"/>
      <c r="AB36" s="78">
        <f>5322*0+2/2*7656*0+3/3*12906*0+4/4*15342*0+5/5*19758*0+6/6*24474*0+7/7*28542*0+8/8*31140*0+9/9*33048*0+10/10*38550*0+11/11*45402</f>
        <v>45402</v>
      </c>
      <c r="AC36" s="33"/>
      <c r="AD36" s="33"/>
      <c r="AE36" s="33"/>
      <c r="AF36" s="33"/>
      <c r="AG36" s="33"/>
      <c r="AH36" s="33"/>
      <c r="AI36" s="52">
        <f t="shared" si="25"/>
        <v>45402</v>
      </c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2">
        <f t="shared" si="59"/>
        <v>0</v>
      </c>
      <c r="AW36" s="3">
        <f t="shared" si="57"/>
        <v>45402</v>
      </c>
      <c r="AX36" s="51">
        <f t="shared" si="26"/>
        <v>0</v>
      </c>
      <c r="AZ36" s="51">
        <f t="shared" si="33"/>
        <v>20750</v>
      </c>
      <c r="BB36" s="51">
        <f t="shared" si="34"/>
        <v>0</v>
      </c>
      <c r="BC36" s="51">
        <f t="shared" si="35"/>
        <v>0</v>
      </c>
      <c r="BD36" s="51">
        <f t="shared" si="36"/>
        <v>0</v>
      </c>
      <c r="BF36" s="51">
        <f t="shared" si="37"/>
        <v>0</v>
      </c>
      <c r="BH36" s="51">
        <f t="shared" si="38"/>
        <v>0</v>
      </c>
      <c r="BI36" s="51">
        <f t="shared" si="39"/>
        <v>0</v>
      </c>
      <c r="BJ36" s="52">
        <f aca="true" t="shared" si="60" ref="BJ36:BJ72">SUM(AX36,AZ36,BB36,BC36,BF36,BH36,BI36)</f>
        <v>20750</v>
      </c>
      <c r="BK36" s="51">
        <f t="shared" si="40"/>
        <v>0</v>
      </c>
      <c r="BM36" s="51">
        <f t="shared" si="41"/>
        <v>0</v>
      </c>
      <c r="BO36" s="51">
        <f t="shared" si="42"/>
        <v>0</v>
      </c>
      <c r="BP36" s="51">
        <f t="shared" si="43"/>
        <v>0</v>
      </c>
      <c r="BR36" s="51">
        <f t="shared" si="44"/>
        <v>0</v>
      </c>
      <c r="BT36" s="51">
        <f t="shared" si="45"/>
        <v>0</v>
      </c>
      <c r="BU36" s="51">
        <f t="shared" si="46"/>
        <v>0</v>
      </c>
      <c r="BV36" s="51">
        <f t="shared" si="47"/>
        <v>0</v>
      </c>
      <c r="BW36" s="51">
        <f t="shared" si="48"/>
        <v>0</v>
      </c>
      <c r="BX36" s="51">
        <f t="shared" si="49"/>
        <v>0</v>
      </c>
      <c r="BY36" s="51">
        <f t="shared" si="50"/>
        <v>0</v>
      </c>
      <c r="CA36" s="51">
        <f t="shared" si="51"/>
        <v>0</v>
      </c>
      <c r="CB36" s="52">
        <f t="shared" si="27"/>
        <v>0</v>
      </c>
      <c r="CC36" s="3">
        <f t="shared" si="58"/>
        <v>20750</v>
      </c>
    </row>
    <row r="37" spans="1:81" ht="12.75">
      <c r="A37" s="5" t="s">
        <v>25</v>
      </c>
      <c r="C37" s="53">
        <f>7400*0+2/2*16108.34*0+4/4*22358.34*0+5/5*26791.67*0+6/6*52958.34*0+7/7*63133.34*0+8/8*77583.34*0+9/9*85100.01*0+12/12*90100.01</f>
        <v>90100.01</v>
      </c>
      <c r="D37" s="33"/>
      <c r="E37" s="33"/>
      <c r="F37" s="33"/>
      <c r="G37" s="33"/>
      <c r="H37" s="33"/>
      <c r="I37" s="33"/>
      <c r="J37" s="33"/>
      <c r="K37" s="52">
        <f t="shared" si="28"/>
        <v>90100.01</v>
      </c>
      <c r="L37" s="14">
        <f>818*0+3/3*938.5*0+4/4*1355.58*0+6/6*1709.59*0+8/8*2622.75*0+9/9*3734.13</f>
        <v>3734.13</v>
      </c>
      <c r="M37" s="51">
        <f>9/9*464*0+10/10*66554.52*0+12/12*88971.19</f>
        <v>88971.19</v>
      </c>
      <c r="N37" s="14"/>
      <c r="O37" s="14">
        <f>496*0+4/4*2922</f>
        <v>2922</v>
      </c>
      <c r="P37" s="14">
        <f>50*0+3/3*2441.5*0+4/4*2905.1*0+6/6*3482.2*0+8/8*3930.7*0+9/9*4922.8*0+10/10*5916.6</f>
        <v>5916.6</v>
      </c>
      <c r="Q37" s="51">
        <f>4/4*14963*0+7/7*29479*0+11/11*45401*0+12/12*60714</f>
        <v>60714</v>
      </c>
      <c r="R37" s="51">
        <f>4/4*5086*0+7/7*10021*0+11/11*15435*0+12/12*20644</f>
        <v>20644</v>
      </c>
      <c r="S37" s="14"/>
      <c r="T37" s="14"/>
      <c r="U37" s="14"/>
      <c r="V37" s="14">
        <f>0.2*0+3/3*1*0+4/4*1.2+6/6*0.78+8/8*0.2+9/9*0.8-10/10*57.22</f>
        <v>-54.239999999999995</v>
      </c>
      <c r="W37" s="14"/>
      <c r="X37" s="52">
        <f t="shared" si="0"/>
        <v>182847.68000000002</v>
      </c>
      <c r="Y37" s="3">
        <f t="shared" si="1"/>
        <v>-92747.67000000003</v>
      </c>
      <c r="AA37" s="32">
        <f>7400*0+2/2*16108.34*0+4/4*22358.34*0+5/5*26791.67*0+6/6*52958.34*0+7/7*63133.34*0+8/8*77583.34*0+9/9*85100.01</f>
        <v>85100.01</v>
      </c>
      <c r="AB37" s="33"/>
      <c r="AC37" s="33"/>
      <c r="AD37" s="33"/>
      <c r="AE37" s="33"/>
      <c r="AF37" s="33"/>
      <c r="AG37" s="33"/>
      <c r="AH37" s="33"/>
      <c r="AI37" s="52">
        <f t="shared" si="25"/>
        <v>85100.01</v>
      </c>
      <c r="AJ37" s="14">
        <f>818*0+3/3*938.5*0+4/4*1355.58*0+6/6*1709.59*0+8/8*2622.75*0+9/9*3734.13</f>
        <v>3734.13</v>
      </c>
      <c r="AK37" s="14">
        <f>9/9*464*0+10/10*66554.52</f>
        <v>66554.52</v>
      </c>
      <c r="AL37" s="14"/>
      <c r="AM37" s="14">
        <f>496*0+4/4*2922</f>
        <v>2922</v>
      </c>
      <c r="AN37" s="14">
        <f>50*0+3/3*2441.5*0+4/4*2905.1*0+6/6*3482.2*0+8/8*3930.7*0+9/9*4922.8*0+10/10*5916.6</f>
        <v>5916.6</v>
      </c>
      <c r="AO37" s="76">
        <f>4/4*14963*0+7/7*29479*0+11/11*45401</f>
        <v>45401</v>
      </c>
      <c r="AP37" s="76">
        <f>4/4*5086*0+7/7*10021*0+11/11*15435</f>
        <v>15435</v>
      </c>
      <c r="AQ37" s="14"/>
      <c r="AR37" s="14"/>
      <c r="AS37" s="14"/>
      <c r="AT37" s="14">
        <f>0.2*0+3/3*1*0+4/4*1.2+6/6*0.78+8/8*0.2+9/9*0.8-10/10*57.22</f>
        <v>-54.239999999999995</v>
      </c>
      <c r="AU37" s="14"/>
      <c r="AV37" s="52">
        <f t="shared" si="59"/>
        <v>139909.01</v>
      </c>
      <c r="AW37" s="3">
        <f t="shared" si="57"/>
        <v>-54809.000000000015</v>
      </c>
      <c r="AX37" s="51">
        <f t="shared" si="26"/>
        <v>5000</v>
      </c>
      <c r="AZ37" s="51">
        <f t="shared" si="33"/>
        <v>0</v>
      </c>
      <c r="BB37" s="51">
        <f t="shared" si="34"/>
        <v>0</v>
      </c>
      <c r="BC37" s="51">
        <f t="shared" si="35"/>
        <v>0</v>
      </c>
      <c r="BD37" s="51">
        <f t="shared" si="36"/>
        <v>0</v>
      </c>
      <c r="BF37" s="51">
        <f t="shared" si="37"/>
        <v>0</v>
      </c>
      <c r="BH37" s="51">
        <f t="shared" si="38"/>
        <v>0</v>
      </c>
      <c r="BI37" s="51">
        <f t="shared" si="39"/>
        <v>0</v>
      </c>
      <c r="BJ37" s="52">
        <f t="shared" si="60"/>
        <v>5000</v>
      </c>
      <c r="BK37" s="51">
        <f t="shared" si="40"/>
        <v>0</v>
      </c>
      <c r="BM37" s="66">
        <f t="shared" si="41"/>
        <v>22416.67</v>
      </c>
      <c r="BO37" s="51">
        <f t="shared" si="42"/>
        <v>0</v>
      </c>
      <c r="BP37" s="51">
        <f t="shared" si="43"/>
        <v>0</v>
      </c>
      <c r="BR37" s="51">
        <f t="shared" si="44"/>
        <v>0</v>
      </c>
      <c r="BT37" s="51">
        <f t="shared" si="45"/>
        <v>15313</v>
      </c>
      <c r="BU37" s="51">
        <f t="shared" si="46"/>
        <v>5209</v>
      </c>
      <c r="BV37" s="51">
        <f t="shared" si="47"/>
        <v>0</v>
      </c>
      <c r="BW37" s="51">
        <f t="shared" si="48"/>
        <v>0</v>
      </c>
      <c r="BX37" s="51">
        <f t="shared" si="49"/>
        <v>0</v>
      </c>
      <c r="BY37" s="51">
        <f t="shared" si="50"/>
        <v>0</v>
      </c>
      <c r="CA37" s="51">
        <f t="shared" si="51"/>
        <v>0</v>
      </c>
      <c r="CB37" s="52">
        <f t="shared" si="27"/>
        <v>42938.67</v>
      </c>
      <c r="CC37" s="3">
        <f t="shared" si="58"/>
        <v>-37938.67</v>
      </c>
    </row>
    <row r="38" spans="1:81" ht="12.75">
      <c r="A38" s="5" t="s">
        <v>92</v>
      </c>
      <c r="C38" s="14"/>
      <c r="D38" s="14"/>
      <c r="E38" s="14"/>
      <c r="F38" s="14"/>
      <c r="G38" s="14"/>
      <c r="H38" s="14"/>
      <c r="I38" s="14"/>
      <c r="J38" s="14"/>
      <c r="K38" s="2">
        <f t="shared" si="28"/>
        <v>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53">
        <f>439.5*0+2/2*(1018+15)*0+3/3*(4538+15)*0+4/4*5020.5*0+5/5*(5475+15)*0+6/6*8813.5+7/7*499.5+8/8*424.5+9/9*2357.5+10/10*557.5+11/11*623.5+12/12*3029-16305+569/569*16305</f>
        <v>16305</v>
      </c>
      <c r="W38" s="33"/>
      <c r="X38" s="52">
        <f t="shared" si="0"/>
        <v>16305</v>
      </c>
      <c r="Y38" s="3">
        <f t="shared" si="1"/>
        <v>-16305</v>
      </c>
      <c r="AA38" s="14"/>
      <c r="AB38" s="14"/>
      <c r="AC38" s="14"/>
      <c r="AD38" s="14"/>
      <c r="AE38" s="14"/>
      <c r="AF38" s="14"/>
      <c r="AG38" s="14"/>
      <c r="AH38" s="14"/>
      <c r="AI38" s="52">
        <f t="shared" si="25"/>
        <v>0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78">
        <f>439.5*0+2/2*(1018+15)*0+3/3*(4538+15)*0+4/4*5020.5*0+5/5*(5475+15)*0+6/6*8813.5+7/7*499.5+8/8*424.5+9/9*2357.5+10/10*557.5+11/11*623.5</f>
        <v>13276</v>
      </c>
      <c r="AU38" s="33"/>
      <c r="AV38" s="52">
        <f t="shared" si="59"/>
        <v>13276</v>
      </c>
      <c r="AW38" s="3">
        <f t="shared" si="57"/>
        <v>-13276</v>
      </c>
      <c r="AX38" s="51">
        <f t="shared" si="26"/>
        <v>0</v>
      </c>
      <c r="AZ38" s="51">
        <f t="shared" si="33"/>
        <v>0</v>
      </c>
      <c r="BB38" s="51">
        <f t="shared" si="34"/>
        <v>0</v>
      </c>
      <c r="BC38" s="51">
        <f t="shared" si="35"/>
        <v>0</v>
      </c>
      <c r="BD38" s="51">
        <f t="shared" si="36"/>
        <v>0</v>
      </c>
      <c r="BF38" s="51">
        <f t="shared" si="37"/>
        <v>0</v>
      </c>
      <c r="BH38" s="51">
        <f t="shared" si="38"/>
        <v>0</v>
      </c>
      <c r="BI38" s="51">
        <f t="shared" si="39"/>
        <v>0</v>
      </c>
      <c r="BJ38" s="52">
        <f t="shared" si="60"/>
        <v>0</v>
      </c>
      <c r="BK38" s="51">
        <f t="shared" si="40"/>
        <v>0</v>
      </c>
      <c r="BM38" s="51">
        <f t="shared" si="41"/>
        <v>0</v>
      </c>
      <c r="BO38" s="51">
        <f t="shared" si="42"/>
        <v>0</v>
      </c>
      <c r="BP38" s="51">
        <f t="shared" si="43"/>
        <v>0</v>
      </c>
      <c r="BR38" s="51">
        <f t="shared" si="44"/>
        <v>0</v>
      </c>
      <c r="BT38" s="51">
        <f t="shared" si="45"/>
        <v>0</v>
      </c>
      <c r="BU38" s="51">
        <f t="shared" si="46"/>
        <v>0</v>
      </c>
      <c r="BV38" s="51">
        <f t="shared" si="47"/>
        <v>0</v>
      </c>
      <c r="BW38" s="51">
        <f t="shared" si="48"/>
        <v>0</v>
      </c>
      <c r="BX38" s="51">
        <f t="shared" si="49"/>
        <v>0</v>
      </c>
      <c r="BY38" s="51">
        <f t="shared" si="50"/>
        <v>3029</v>
      </c>
      <c r="CA38" s="51">
        <f t="shared" si="51"/>
        <v>0</v>
      </c>
      <c r="CB38" s="52">
        <f t="shared" si="27"/>
        <v>3029</v>
      </c>
      <c r="CC38" s="3">
        <f t="shared" si="58"/>
        <v>-3029</v>
      </c>
    </row>
    <row r="39" spans="1:81" ht="12.75">
      <c r="A39" s="5" t="s">
        <v>93</v>
      </c>
      <c r="C39" s="14"/>
      <c r="D39" s="14"/>
      <c r="E39" s="14"/>
      <c r="F39" s="14"/>
      <c r="G39" s="14"/>
      <c r="H39" s="14"/>
      <c r="I39" s="14"/>
      <c r="J39" s="14"/>
      <c r="K39" s="2">
        <f t="shared" si="28"/>
        <v>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53">
        <f>429.5*0+2/2*799*0+3/3*(-15+3627.5)*0+4/4*3997*0+5/5*4351.5*0+6/6*6840*0+7/7*12774*0+8/8*13143.5*0+9/9*15878*0+10/10*16262.5*0+11/11*16617+12/12*2396.5-19013.5+569/569*19013.5</f>
        <v>19013.5</v>
      </c>
      <c r="W39" s="33"/>
      <c r="X39" s="52">
        <f t="shared" si="0"/>
        <v>19013.5</v>
      </c>
      <c r="Y39" s="3">
        <f t="shared" si="1"/>
        <v>-19013.5</v>
      </c>
      <c r="AA39" s="14"/>
      <c r="AB39" s="14"/>
      <c r="AC39" s="14"/>
      <c r="AD39" s="14"/>
      <c r="AE39" s="14"/>
      <c r="AF39" s="14"/>
      <c r="AG39" s="14"/>
      <c r="AH39" s="14"/>
      <c r="AI39" s="52">
        <f t="shared" si="25"/>
        <v>0</v>
      </c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78">
        <f>429.5*0+2/2*799*0+3/3*(-15+3627.5)*0+4/4*3997*0+5/5*4351.5*0+6/6*6840*0+7/7*12774*0+8/8*13143.5*0+9/9*15878*0+10/10*16262.5*0+11/11*16617</f>
        <v>16617</v>
      </c>
      <c r="AU39" s="33"/>
      <c r="AV39" s="52">
        <f t="shared" si="59"/>
        <v>16617</v>
      </c>
      <c r="AW39" s="3">
        <f t="shared" si="57"/>
        <v>-16617</v>
      </c>
      <c r="AX39" s="51">
        <f t="shared" si="26"/>
        <v>0</v>
      </c>
      <c r="AZ39" s="51">
        <f t="shared" si="33"/>
        <v>0</v>
      </c>
      <c r="BB39" s="51">
        <f t="shared" si="34"/>
        <v>0</v>
      </c>
      <c r="BC39" s="51">
        <f t="shared" si="35"/>
        <v>0</v>
      </c>
      <c r="BD39" s="51">
        <f t="shared" si="36"/>
        <v>0</v>
      </c>
      <c r="BF39" s="51">
        <f t="shared" si="37"/>
        <v>0</v>
      </c>
      <c r="BH39" s="51">
        <f t="shared" si="38"/>
        <v>0</v>
      </c>
      <c r="BI39" s="51">
        <f t="shared" si="39"/>
        <v>0</v>
      </c>
      <c r="BJ39" s="52">
        <f t="shared" si="60"/>
        <v>0</v>
      </c>
      <c r="BK39" s="51">
        <f t="shared" si="40"/>
        <v>0</v>
      </c>
      <c r="BM39" s="51">
        <f t="shared" si="41"/>
        <v>0</v>
      </c>
      <c r="BO39" s="51">
        <f t="shared" si="42"/>
        <v>0</v>
      </c>
      <c r="BP39" s="51">
        <f t="shared" si="43"/>
        <v>0</v>
      </c>
      <c r="BR39" s="51">
        <f t="shared" si="44"/>
        <v>0</v>
      </c>
      <c r="BT39" s="51">
        <f t="shared" si="45"/>
        <v>0</v>
      </c>
      <c r="BU39" s="51">
        <f t="shared" si="46"/>
        <v>0</v>
      </c>
      <c r="BV39" s="51">
        <f t="shared" si="47"/>
        <v>0</v>
      </c>
      <c r="BW39" s="51">
        <f t="shared" si="48"/>
        <v>0</v>
      </c>
      <c r="BX39" s="51">
        <f t="shared" si="49"/>
        <v>0</v>
      </c>
      <c r="BY39" s="51">
        <f t="shared" si="50"/>
        <v>2396.5</v>
      </c>
      <c r="CA39" s="51">
        <f t="shared" si="51"/>
        <v>0</v>
      </c>
      <c r="CB39" s="52">
        <f t="shared" si="27"/>
        <v>2396.5</v>
      </c>
      <c r="CC39" s="3">
        <f t="shared" si="58"/>
        <v>-2396.5</v>
      </c>
    </row>
    <row r="40" spans="1:81" ht="12.75">
      <c r="A40" s="5" t="s">
        <v>26</v>
      </c>
      <c r="C40" s="51">
        <f>2/2*125*0+6/6*1791.6*0+11/11*41046.19*0+12/12*44308.71</f>
        <v>44308.71</v>
      </c>
      <c r="D40" s="14"/>
      <c r="E40" s="14"/>
      <c r="F40" s="14"/>
      <c r="G40" s="14"/>
      <c r="H40" s="53">
        <f>2690*0+2/2*5595*0+3/3*11307.35*0+4/4*15570.68*0+5/5*23055.51*0+6/6*24600.51*0+7/7*25900.51*0+8/8*29673.84*0+9/9*32141.34*0+10/10*33755.51*0+11/11*-2083.25*0+12/12*(646/646)*291.67*0</f>
        <v>0</v>
      </c>
      <c r="I40" s="53">
        <f>2690*0+2/2*5595*0+3/3*11307.35*0+4/4*15570.68*0+5/5*23055.51*0+6/6*24600.51*0+7/7*25900.51*0+8/8*29673.84*0+9/9*32141.34*0+10/10*33755.51*0+11/11*-2083.25*0+12/12*(646/646)*291.67</f>
        <v>291.67</v>
      </c>
      <c r="J40" s="33"/>
      <c r="K40" s="52">
        <f t="shared" si="28"/>
        <v>44600.38</v>
      </c>
      <c r="L40" s="14"/>
      <c r="M40" s="14"/>
      <c r="N40" s="14"/>
      <c r="O40" s="14"/>
      <c r="P40" s="14"/>
      <c r="Q40" s="51">
        <f>4/4*207190*0+7/7*415170*0+11/11*627213*0+12/12*843055</f>
        <v>843055</v>
      </c>
      <c r="R40" s="51">
        <f>4/4*70449*0+7/7*141166*0+11/11*213261*0+12/12*286649</f>
        <v>286649</v>
      </c>
      <c r="S40" s="14"/>
      <c r="T40" s="14"/>
      <c r="U40" s="14"/>
      <c r="V40" s="14"/>
      <c r="W40" s="14"/>
      <c r="X40" s="52">
        <f aca="true" t="shared" si="61" ref="X40:X62">SUM(L40:W40)</f>
        <v>1129704</v>
      </c>
      <c r="Y40" s="3">
        <f aca="true" t="shared" si="62" ref="Y40:Y72">K40-X40</f>
        <v>-1085103.62</v>
      </c>
      <c r="AA40" s="14">
        <f>2/2*125*0+6/6*1791.6*0+11/11*41046.19</f>
        <v>41046.19</v>
      </c>
      <c r="AB40" s="14"/>
      <c r="AC40" s="14"/>
      <c r="AD40" s="14"/>
      <c r="AE40" s="14"/>
      <c r="AF40" s="79">
        <f>2690*0+2/2*5595*0+3/3*11307.35*0+4/4*15570.68*0+5/5*23055.51*0+6/6*24600.51*0+7/7*25900.51*0+8/8*29673.84*0+9/9*32141.34*0+10/10*33755.51*0+11/11*-2083.25</f>
        <v>-2083.25</v>
      </c>
      <c r="AG40" s="33"/>
      <c r="AH40" s="33"/>
      <c r="AI40" s="52">
        <f t="shared" si="25"/>
        <v>38962.94</v>
      </c>
      <c r="AJ40" s="14"/>
      <c r="AK40" s="14"/>
      <c r="AL40" s="14"/>
      <c r="AM40" s="14"/>
      <c r="AN40" s="14"/>
      <c r="AO40" s="76">
        <f>4/4*207190*0+7/7*415170*0+11/11*627213</f>
        <v>627213</v>
      </c>
      <c r="AP40" s="76">
        <f>4/4*70449*0+7/7*141166*0+11/11*213261</f>
        <v>213261</v>
      </c>
      <c r="AQ40" s="14"/>
      <c r="AR40" s="14"/>
      <c r="AS40" s="14"/>
      <c r="AT40" s="14"/>
      <c r="AU40" s="14"/>
      <c r="AV40" s="52">
        <f t="shared" si="59"/>
        <v>840474</v>
      </c>
      <c r="AW40" s="3">
        <f t="shared" si="57"/>
        <v>-801511.06</v>
      </c>
      <c r="AX40" s="51">
        <f t="shared" si="26"/>
        <v>3262.519999999997</v>
      </c>
      <c r="AZ40" s="51">
        <f t="shared" si="33"/>
        <v>0</v>
      </c>
      <c r="BB40" s="51">
        <f t="shared" si="34"/>
        <v>0</v>
      </c>
      <c r="BC40" s="51">
        <f t="shared" si="35"/>
        <v>0</v>
      </c>
      <c r="BD40" s="51">
        <f t="shared" si="36"/>
        <v>0</v>
      </c>
      <c r="BF40" s="51">
        <f t="shared" si="37"/>
        <v>2083.25</v>
      </c>
      <c r="BH40" s="51">
        <f t="shared" si="38"/>
        <v>291.67</v>
      </c>
      <c r="BI40" s="51">
        <f t="shared" si="39"/>
        <v>0</v>
      </c>
      <c r="BJ40" s="52">
        <f t="shared" si="60"/>
        <v>5637.439999999997</v>
      </c>
      <c r="BK40" s="51">
        <f t="shared" si="40"/>
        <v>0</v>
      </c>
      <c r="BM40" s="51">
        <f t="shared" si="41"/>
        <v>0</v>
      </c>
      <c r="BO40" s="51">
        <f t="shared" si="42"/>
        <v>0</v>
      </c>
      <c r="BP40" s="51">
        <f t="shared" si="43"/>
        <v>0</v>
      </c>
      <c r="BR40" s="51">
        <f t="shared" si="44"/>
        <v>0</v>
      </c>
      <c r="BT40" s="51">
        <f t="shared" si="45"/>
        <v>215842</v>
      </c>
      <c r="BU40" s="51">
        <f t="shared" si="46"/>
        <v>73388</v>
      </c>
      <c r="BV40" s="51">
        <f t="shared" si="47"/>
        <v>0</v>
      </c>
      <c r="BW40" s="51">
        <f t="shared" si="48"/>
        <v>0</v>
      </c>
      <c r="BX40" s="51">
        <f t="shared" si="49"/>
        <v>0</v>
      </c>
      <c r="BY40" s="51">
        <f t="shared" si="50"/>
        <v>0</v>
      </c>
      <c r="CA40" s="51">
        <f t="shared" si="51"/>
        <v>0</v>
      </c>
      <c r="CB40" s="52">
        <f t="shared" si="27"/>
        <v>289230</v>
      </c>
      <c r="CC40" s="3">
        <f t="shared" si="58"/>
        <v>-283592.56</v>
      </c>
    </row>
    <row r="41" spans="1:81" ht="10.5" customHeight="1">
      <c r="A41" s="12" t="s">
        <v>36</v>
      </c>
      <c r="B41" s="15"/>
      <c r="C41" s="14"/>
      <c r="D41" s="48">
        <f>1225365+170741</f>
        <v>1396106</v>
      </c>
      <c r="E41" s="48"/>
      <c r="F41" s="48"/>
      <c r="G41" s="48"/>
      <c r="H41" s="48"/>
      <c r="I41" s="48"/>
      <c r="J41" s="48"/>
      <c r="K41" s="54">
        <f t="shared" si="28"/>
        <v>1396106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">
        <f t="shared" si="61"/>
        <v>0</v>
      </c>
      <c r="Y41" s="3">
        <f t="shared" si="62"/>
        <v>1396106</v>
      </c>
      <c r="AA41" s="14"/>
      <c r="AB41" s="48">
        <f>1225365+170741</f>
        <v>1396106</v>
      </c>
      <c r="AC41" s="48"/>
      <c r="AD41" s="48"/>
      <c r="AE41" s="48"/>
      <c r="AF41" s="48"/>
      <c r="AG41" s="48"/>
      <c r="AH41" s="48"/>
      <c r="AI41" s="52">
        <f t="shared" si="25"/>
        <v>1396106</v>
      </c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2">
        <f t="shared" si="59"/>
        <v>0</v>
      </c>
      <c r="AW41" s="3">
        <f t="shared" si="57"/>
        <v>1396106</v>
      </c>
      <c r="AX41" s="51">
        <f t="shared" si="26"/>
        <v>0</v>
      </c>
      <c r="AZ41" s="51">
        <f t="shared" si="33"/>
        <v>0</v>
      </c>
      <c r="BB41" s="51">
        <f t="shared" si="34"/>
        <v>0</v>
      </c>
      <c r="BC41" s="51">
        <f t="shared" si="35"/>
        <v>0</v>
      </c>
      <c r="BD41" s="51">
        <f t="shared" si="36"/>
        <v>0</v>
      </c>
      <c r="BF41" s="51">
        <f t="shared" si="37"/>
        <v>0</v>
      </c>
      <c r="BH41" s="51">
        <f t="shared" si="38"/>
        <v>0</v>
      </c>
      <c r="BI41" s="51">
        <f t="shared" si="39"/>
        <v>0</v>
      </c>
      <c r="BJ41" s="52">
        <f t="shared" si="60"/>
        <v>0</v>
      </c>
      <c r="BK41" s="51">
        <f t="shared" si="40"/>
        <v>0</v>
      </c>
      <c r="BM41" s="51">
        <f t="shared" si="41"/>
        <v>0</v>
      </c>
      <c r="BO41" s="51">
        <f t="shared" si="42"/>
        <v>0</v>
      </c>
      <c r="BP41" s="51">
        <f t="shared" si="43"/>
        <v>0</v>
      </c>
      <c r="BR41" s="51">
        <f t="shared" si="44"/>
        <v>0</v>
      </c>
      <c r="BT41" s="51">
        <f t="shared" si="45"/>
        <v>0</v>
      </c>
      <c r="BU41" s="51">
        <f t="shared" si="46"/>
        <v>0</v>
      </c>
      <c r="BV41" s="51">
        <f t="shared" si="47"/>
        <v>0</v>
      </c>
      <c r="BW41" s="51">
        <f t="shared" si="48"/>
        <v>0</v>
      </c>
      <c r="BX41" s="51">
        <f t="shared" si="49"/>
        <v>0</v>
      </c>
      <c r="BY41" s="51">
        <f t="shared" si="50"/>
        <v>0</v>
      </c>
      <c r="CA41" s="51">
        <f t="shared" si="51"/>
        <v>0</v>
      </c>
      <c r="CB41" s="52">
        <f t="shared" si="27"/>
        <v>0</v>
      </c>
      <c r="CC41" s="3">
        <f t="shared" si="58"/>
        <v>0</v>
      </c>
    </row>
    <row r="42" spans="1:81" ht="10.5" customHeight="1">
      <c r="A42" s="12" t="s">
        <v>47</v>
      </c>
      <c r="B42" s="15"/>
      <c r="C42" s="28"/>
      <c r="D42" s="48">
        <f>1225365*0+1172843+170741</f>
        <v>1343584</v>
      </c>
      <c r="E42" s="48"/>
      <c r="F42" s="48"/>
      <c r="G42" s="48"/>
      <c r="H42" s="48"/>
      <c r="I42" s="48"/>
      <c r="J42" s="48"/>
      <c r="K42" s="54">
        <f t="shared" si="28"/>
        <v>1343584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2">
        <f t="shared" si="61"/>
        <v>0</v>
      </c>
      <c r="Y42" s="3">
        <f t="shared" si="62"/>
        <v>1343584</v>
      </c>
      <c r="AA42" s="28"/>
      <c r="AB42" s="48">
        <f>1225365*0+1172843+170741</f>
        <v>1343584</v>
      </c>
      <c r="AC42" s="48"/>
      <c r="AD42" s="48"/>
      <c r="AE42" s="48"/>
      <c r="AF42" s="48"/>
      <c r="AG42" s="48"/>
      <c r="AH42" s="48"/>
      <c r="AI42" s="52">
        <f t="shared" si="25"/>
        <v>1343584</v>
      </c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2">
        <f t="shared" si="59"/>
        <v>0</v>
      </c>
      <c r="AW42" s="3">
        <f t="shared" si="57"/>
        <v>1343584</v>
      </c>
      <c r="AX42" s="51">
        <f t="shared" si="26"/>
        <v>0</v>
      </c>
      <c r="AZ42" s="51">
        <f t="shared" si="33"/>
        <v>0</v>
      </c>
      <c r="BB42" s="51">
        <f t="shared" si="34"/>
        <v>0</v>
      </c>
      <c r="BC42" s="51">
        <f t="shared" si="35"/>
        <v>0</v>
      </c>
      <c r="BD42" s="51">
        <f t="shared" si="36"/>
        <v>0</v>
      </c>
      <c r="BF42" s="51">
        <f t="shared" si="37"/>
        <v>0</v>
      </c>
      <c r="BH42" s="51">
        <f t="shared" si="38"/>
        <v>0</v>
      </c>
      <c r="BI42" s="51">
        <f t="shared" si="39"/>
        <v>0</v>
      </c>
      <c r="BJ42" s="52">
        <f t="shared" si="60"/>
        <v>0</v>
      </c>
      <c r="BK42" s="51">
        <f t="shared" si="40"/>
        <v>0</v>
      </c>
      <c r="BM42" s="51">
        <f t="shared" si="41"/>
        <v>0</v>
      </c>
      <c r="BO42" s="51">
        <f t="shared" si="42"/>
        <v>0</v>
      </c>
      <c r="BP42" s="51">
        <f t="shared" si="43"/>
        <v>0</v>
      </c>
      <c r="BR42" s="51">
        <f t="shared" si="44"/>
        <v>0</v>
      </c>
      <c r="BT42" s="51">
        <f t="shared" si="45"/>
        <v>0</v>
      </c>
      <c r="BU42" s="51">
        <f t="shared" si="46"/>
        <v>0</v>
      </c>
      <c r="BV42" s="51">
        <f t="shared" si="47"/>
        <v>0</v>
      </c>
      <c r="BW42" s="51">
        <f t="shared" si="48"/>
        <v>0</v>
      </c>
      <c r="BX42" s="51">
        <f t="shared" si="49"/>
        <v>0</v>
      </c>
      <c r="BY42" s="51">
        <f t="shared" si="50"/>
        <v>0</v>
      </c>
      <c r="CA42" s="51">
        <f t="shared" si="51"/>
        <v>0</v>
      </c>
      <c r="CB42" s="52">
        <f t="shared" si="27"/>
        <v>0</v>
      </c>
      <c r="CC42" s="3">
        <f t="shared" si="58"/>
        <v>0</v>
      </c>
    </row>
    <row r="43" spans="1:81" ht="10.5" customHeight="1">
      <c r="A43" s="12" t="s">
        <v>48</v>
      </c>
      <c r="B43" s="15"/>
      <c r="C43" s="28"/>
      <c r="D43" s="48">
        <f>1339604*0+1168863+170741</f>
        <v>1339604</v>
      </c>
      <c r="E43" s="48"/>
      <c r="F43" s="48"/>
      <c r="G43" s="48"/>
      <c r="H43" s="48"/>
      <c r="I43" s="48"/>
      <c r="J43" s="48"/>
      <c r="K43" s="54">
        <f aca="true" t="shared" si="63" ref="K43:K53">SUM(B43:J43)</f>
        <v>1339604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">
        <f aca="true" t="shared" si="64" ref="X43:X53">SUM(L43:W43)</f>
        <v>0</v>
      </c>
      <c r="Y43" s="3">
        <f aca="true" t="shared" si="65" ref="Y43:Y53">K43-X43</f>
        <v>1339604</v>
      </c>
      <c r="AA43" s="28"/>
      <c r="AB43" s="48">
        <f>1339604*0+1168863+170741</f>
        <v>1339604</v>
      </c>
      <c r="AC43" s="48"/>
      <c r="AD43" s="48"/>
      <c r="AE43" s="48"/>
      <c r="AF43" s="48"/>
      <c r="AG43" s="48"/>
      <c r="AH43" s="48"/>
      <c r="AI43" s="52">
        <f t="shared" si="25"/>
        <v>1339604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2">
        <f t="shared" si="59"/>
        <v>0</v>
      </c>
      <c r="AW43" s="3">
        <f aca="true" t="shared" si="66" ref="AW43:AW68">AI43-AV43</f>
        <v>1339604</v>
      </c>
      <c r="AX43" s="51">
        <f t="shared" si="26"/>
        <v>0</v>
      </c>
      <c r="AZ43" s="51">
        <f t="shared" si="33"/>
        <v>0</v>
      </c>
      <c r="BB43" s="51">
        <f t="shared" si="34"/>
        <v>0</v>
      </c>
      <c r="BC43" s="51">
        <f t="shared" si="35"/>
        <v>0</v>
      </c>
      <c r="BD43" s="51">
        <f t="shared" si="36"/>
        <v>0</v>
      </c>
      <c r="BF43" s="51">
        <f t="shared" si="37"/>
        <v>0</v>
      </c>
      <c r="BH43" s="51">
        <f t="shared" si="38"/>
        <v>0</v>
      </c>
      <c r="BI43" s="51">
        <f t="shared" si="39"/>
        <v>0</v>
      </c>
      <c r="BJ43" s="52">
        <f t="shared" si="60"/>
        <v>0</v>
      </c>
      <c r="BK43" s="51">
        <f t="shared" si="40"/>
        <v>0</v>
      </c>
      <c r="BM43" s="51">
        <f t="shared" si="41"/>
        <v>0</v>
      </c>
      <c r="BO43" s="51">
        <f t="shared" si="42"/>
        <v>0</v>
      </c>
      <c r="BP43" s="51">
        <f t="shared" si="43"/>
        <v>0</v>
      </c>
      <c r="BR43" s="51">
        <f t="shared" si="44"/>
        <v>0</v>
      </c>
      <c r="BT43" s="51">
        <f t="shared" si="45"/>
        <v>0</v>
      </c>
      <c r="BU43" s="51">
        <f t="shared" si="46"/>
        <v>0</v>
      </c>
      <c r="BV43" s="51">
        <f t="shared" si="47"/>
        <v>0</v>
      </c>
      <c r="BW43" s="51">
        <f t="shared" si="48"/>
        <v>0</v>
      </c>
      <c r="BX43" s="51">
        <f t="shared" si="49"/>
        <v>0</v>
      </c>
      <c r="BY43" s="51">
        <f t="shared" si="50"/>
        <v>0</v>
      </c>
      <c r="CA43" s="51">
        <f t="shared" si="51"/>
        <v>0</v>
      </c>
      <c r="CB43" s="52">
        <f t="shared" si="27"/>
        <v>0</v>
      </c>
      <c r="CC43" s="3">
        <f aca="true" t="shared" si="67" ref="CC43:CC68">BJ43-CB43</f>
        <v>0</v>
      </c>
    </row>
    <row r="44" spans="1:81" ht="10.5" customHeight="1">
      <c r="A44" s="12" t="s">
        <v>57</v>
      </c>
      <c r="B44" s="23"/>
      <c r="C44" s="27"/>
      <c r="D44" s="49">
        <f>1339604*0+1168863*0+1168960+(170741*0+6/6*173741)</f>
        <v>1342701</v>
      </c>
      <c r="E44" s="48"/>
      <c r="F44" s="48"/>
      <c r="G44" s="48"/>
      <c r="H44" s="48"/>
      <c r="I44" s="48"/>
      <c r="J44" s="48"/>
      <c r="K44" s="54">
        <f t="shared" si="63"/>
        <v>1342701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2">
        <f t="shared" si="64"/>
        <v>0</v>
      </c>
      <c r="Y44" s="3">
        <f t="shared" si="65"/>
        <v>1342701</v>
      </c>
      <c r="AA44" s="27"/>
      <c r="AB44" s="49">
        <f>1339604*0+1168863*0+1168960+(170741*0+6/6*173741)</f>
        <v>1342701</v>
      </c>
      <c r="AC44" s="48"/>
      <c r="AD44" s="48"/>
      <c r="AE44" s="48"/>
      <c r="AF44" s="48"/>
      <c r="AG44" s="48"/>
      <c r="AH44" s="48"/>
      <c r="AI44" s="52">
        <f t="shared" si="25"/>
        <v>1342701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">
        <f t="shared" si="59"/>
        <v>0</v>
      </c>
      <c r="AW44" s="3">
        <f t="shared" si="66"/>
        <v>1342701</v>
      </c>
      <c r="AX44" s="51">
        <f t="shared" si="26"/>
        <v>0</v>
      </c>
      <c r="AZ44" s="51">
        <f t="shared" si="33"/>
        <v>0</v>
      </c>
      <c r="BB44" s="51">
        <f t="shared" si="34"/>
        <v>0</v>
      </c>
      <c r="BC44" s="51">
        <f t="shared" si="35"/>
        <v>0</v>
      </c>
      <c r="BD44" s="51">
        <f t="shared" si="36"/>
        <v>0</v>
      </c>
      <c r="BF44" s="51">
        <f t="shared" si="37"/>
        <v>0</v>
      </c>
      <c r="BH44" s="51">
        <f t="shared" si="38"/>
        <v>0</v>
      </c>
      <c r="BI44" s="51">
        <f t="shared" si="39"/>
        <v>0</v>
      </c>
      <c r="BJ44" s="52">
        <f t="shared" si="60"/>
        <v>0</v>
      </c>
      <c r="BK44" s="51">
        <f t="shared" si="40"/>
        <v>0</v>
      </c>
      <c r="BM44" s="51">
        <f t="shared" si="41"/>
        <v>0</v>
      </c>
      <c r="BO44" s="51">
        <f t="shared" si="42"/>
        <v>0</v>
      </c>
      <c r="BP44" s="51">
        <f t="shared" si="43"/>
        <v>0</v>
      </c>
      <c r="BR44" s="51">
        <f t="shared" si="44"/>
        <v>0</v>
      </c>
      <c r="BT44" s="51">
        <f t="shared" si="45"/>
        <v>0</v>
      </c>
      <c r="BU44" s="51">
        <f t="shared" si="46"/>
        <v>0</v>
      </c>
      <c r="BV44" s="51">
        <f t="shared" si="47"/>
        <v>0</v>
      </c>
      <c r="BW44" s="51">
        <f t="shared" si="48"/>
        <v>0</v>
      </c>
      <c r="BX44" s="51">
        <f t="shared" si="49"/>
        <v>0</v>
      </c>
      <c r="BY44" s="51">
        <f t="shared" si="50"/>
        <v>0</v>
      </c>
      <c r="CA44" s="51">
        <f t="shared" si="51"/>
        <v>0</v>
      </c>
      <c r="CB44" s="52">
        <f t="shared" si="27"/>
        <v>0</v>
      </c>
      <c r="CC44" s="3">
        <f t="shared" si="67"/>
        <v>0</v>
      </c>
    </row>
    <row r="45" spans="1:81" s="31" customFormat="1" ht="10.5" customHeight="1">
      <c r="A45" s="12" t="s">
        <v>58</v>
      </c>
      <c r="B45" s="29"/>
      <c r="C45" s="27"/>
      <c r="D45" s="49">
        <f>1339604*0+1168863*0+1168960+4/4*170741+5/5*12253</f>
        <v>1351954</v>
      </c>
      <c r="E45" s="48"/>
      <c r="F45" s="48"/>
      <c r="G45" s="48"/>
      <c r="H45" s="48"/>
      <c r="I45" s="48"/>
      <c r="J45" s="48"/>
      <c r="K45" s="54">
        <f t="shared" si="63"/>
        <v>1351954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2">
        <f t="shared" si="64"/>
        <v>0</v>
      </c>
      <c r="Y45" s="3">
        <f t="shared" si="65"/>
        <v>1351954</v>
      </c>
      <c r="Z45" s="30"/>
      <c r="AA45" s="27"/>
      <c r="AB45" s="49">
        <f>1339604*0+1168863*0+1168960+4/4*170741+5/5*12253</f>
        <v>1351954</v>
      </c>
      <c r="AC45" s="48"/>
      <c r="AD45" s="48"/>
      <c r="AE45" s="48"/>
      <c r="AF45" s="48"/>
      <c r="AG45" s="48"/>
      <c r="AH45" s="48"/>
      <c r="AI45" s="52">
        <f t="shared" si="25"/>
        <v>1351954</v>
      </c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2">
        <f t="shared" si="59"/>
        <v>0</v>
      </c>
      <c r="AW45" s="3">
        <f t="shared" si="66"/>
        <v>1351954</v>
      </c>
      <c r="AX45" s="51">
        <f t="shared" si="26"/>
        <v>0</v>
      </c>
      <c r="AY45" s="51"/>
      <c r="AZ45" s="51">
        <f t="shared" si="33"/>
        <v>0</v>
      </c>
      <c r="BA45" s="51"/>
      <c r="BB45" s="51">
        <f t="shared" si="34"/>
        <v>0</v>
      </c>
      <c r="BC45" s="51">
        <f t="shared" si="35"/>
        <v>0</v>
      </c>
      <c r="BD45" s="51">
        <f t="shared" si="36"/>
        <v>0</v>
      </c>
      <c r="BE45" s="51"/>
      <c r="BF45" s="51">
        <f t="shared" si="37"/>
        <v>0</v>
      </c>
      <c r="BG45" s="51"/>
      <c r="BH45" s="51">
        <f t="shared" si="38"/>
        <v>0</v>
      </c>
      <c r="BI45" s="51">
        <f t="shared" si="39"/>
        <v>0</v>
      </c>
      <c r="BJ45" s="52">
        <f t="shared" si="60"/>
        <v>0</v>
      </c>
      <c r="BK45" s="51">
        <f t="shared" si="40"/>
        <v>0</v>
      </c>
      <c r="BL45" s="60"/>
      <c r="BM45" s="51">
        <f t="shared" si="41"/>
        <v>0</v>
      </c>
      <c r="BN45" s="60"/>
      <c r="BO45" s="51">
        <f t="shared" si="42"/>
        <v>0</v>
      </c>
      <c r="BP45" s="51">
        <f t="shared" si="43"/>
        <v>0</v>
      </c>
      <c r="BQ45" s="60"/>
      <c r="BR45" s="51">
        <f t="shared" si="44"/>
        <v>0</v>
      </c>
      <c r="BS45" s="60"/>
      <c r="BT45" s="51">
        <f t="shared" si="45"/>
        <v>0</v>
      </c>
      <c r="BU45" s="51">
        <f t="shared" si="46"/>
        <v>0</v>
      </c>
      <c r="BV45" s="51">
        <f t="shared" si="47"/>
        <v>0</v>
      </c>
      <c r="BW45" s="51">
        <f t="shared" si="48"/>
        <v>0</v>
      </c>
      <c r="BX45" s="51">
        <f t="shared" si="49"/>
        <v>0</v>
      </c>
      <c r="BY45" s="51">
        <f t="shared" si="50"/>
        <v>0</v>
      </c>
      <c r="BZ45" s="60"/>
      <c r="CA45" s="51">
        <f t="shared" si="51"/>
        <v>0</v>
      </c>
      <c r="CB45" s="52">
        <f t="shared" si="27"/>
        <v>0</v>
      </c>
      <c r="CC45" s="3">
        <f t="shared" si="67"/>
        <v>0</v>
      </c>
    </row>
    <row r="46" spans="1:81" s="31" customFormat="1" ht="10.5" customHeight="1">
      <c r="A46" s="36" t="s">
        <v>59</v>
      </c>
      <c r="B46" s="29"/>
      <c r="C46" s="27"/>
      <c r="D46" s="49">
        <f>1172111+172241</f>
        <v>1344352</v>
      </c>
      <c r="E46" s="48"/>
      <c r="F46" s="48"/>
      <c r="G46" s="48"/>
      <c r="H46" s="48"/>
      <c r="I46" s="48"/>
      <c r="J46" s="48"/>
      <c r="K46" s="54">
        <f t="shared" si="63"/>
        <v>1344352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2">
        <f t="shared" si="64"/>
        <v>0</v>
      </c>
      <c r="Y46" s="3">
        <f t="shared" si="65"/>
        <v>1344352</v>
      </c>
      <c r="Z46" s="30"/>
      <c r="AA46" s="27"/>
      <c r="AB46" s="49">
        <f>1172111+172241</f>
        <v>1344352</v>
      </c>
      <c r="AC46" s="48"/>
      <c r="AD46" s="48"/>
      <c r="AE46" s="48"/>
      <c r="AF46" s="48"/>
      <c r="AG46" s="48"/>
      <c r="AH46" s="48"/>
      <c r="AI46" s="52">
        <f t="shared" si="25"/>
        <v>1344352</v>
      </c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2">
        <f t="shared" si="59"/>
        <v>0</v>
      </c>
      <c r="AW46" s="3">
        <f t="shared" si="66"/>
        <v>1344352</v>
      </c>
      <c r="AX46" s="51">
        <f t="shared" si="26"/>
        <v>0</v>
      </c>
      <c r="AY46" s="51"/>
      <c r="AZ46" s="51">
        <f t="shared" si="33"/>
        <v>0</v>
      </c>
      <c r="BA46" s="51"/>
      <c r="BB46" s="51">
        <f t="shared" si="34"/>
        <v>0</v>
      </c>
      <c r="BC46" s="51">
        <f t="shared" si="35"/>
        <v>0</v>
      </c>
      <c r="BD46" s="51">
        <f t="shared" si="36"/>
        <v>0</v>
      </c>
      <c r="BE46" s="51"/>
      <c r="BF46" s="51">
        <f t="shared" si="37"/>
        <v>0</v>
      </c>
      <c r="BG46" s="51"/>
      <c r="BH46" s="51">
        <f t="shared" si="38"/>
        <v>0</v>
      </c>
      <c r="BI46" s="51">
        <f t="shared" si="39"/>
        <v>0</v>
      </c>
      <c r="BJ46" s="52">
        <f t="shared" si="60"/>
        <v>0</v>
      </c>
      <c r="BK46" s="51">
        <f t="shared" si="40"/>
        <v>0</v>
      </c>
      <c r="BL46" s="60"/>
      <c r="BM46" s="51">
        <f t="shared" si="41"/>
        <v>0</v>
      </c>
      <c r="BN46" s="60"/>
      <c r="BO46" s="51">
        <f t="shared" si="42"/>
        <v>0</v>
      </c>
      <c r="BP46" s="51">
        <f t="shared" si="43"/>
        <v>0</v>
      </c>
      <c r="BQ46" s="60"/>
      <c r="BR46" s="51">
        <f t="shared" si="44"/>
        <v>0</v>
      </c>
      <c r="BS46" s="60"/>
      <c r="BT46" s="51">
        <f t="shared" si="45"/>
        <v>0</v>
      </c>
      <c r="BU46" s="51">
        <f t="shared" si="46"/>
        <v>0</v>
      </c>
      <c r="BV46" s="51">
        <f t="shared" si="47"/>
        <v>0</v>
      </c>
      <c r="BW46" s="51">
        <f t="shared" si="48"/>
        <v>0</v>
      </c>
      <c r="BX46" s="51">
        <f t="shared" si="49"/>
        <v>0</v>
      </c>
      <c r="BY46" s="51">
        <f t="shared" si="50"/>
        <v>0</v>
      </c>
      <c r="BZ46" s="60"/>
      <c r="CA46" s="51">
        <f t="shared" si="51"/>
        <v>0</v>
      </c>
      <c r="CB46" s="52">
        <f t="shared" si="27"/>
        <v>0</v>
      </c>
      <c r="CC46" s="3">
        <f t="shared" si="67"/>
        <v>0</v>
      </c>
    </row>
    <row r="47" spans="1:81" s="31" customFormat="1" ht="10.5" customHeight="1">
      <c r="A47" s="22" t="s">
        <v>65</v>
      </c>
      <c r="B47" s="29"/>
      <c r="C47" s="27"/>
      <c r="D47" s="49">
        <f>7/7*1337360</f>
        <v>1337360</v>
      </c>
      <c r="E47" s="50"/>
      <c r="F47" s="50"/>
      <c r="G47" s="50"/>
      <c r="H47" s="50"/>
      <c r="I47" s="50"/>
      <c r="J47" s="50"/>
      <c r="K47" s="54">
        <f t="shared" si="63"/>
        <v>1337360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">
        <f t="shared" si="64"/>
        <v>0</v>
      </c>
      <c r="Y47" s="3">
        <f t="shared" si="65"/>
        <v>1337360</v>
      </c>
      <c r="Z47" s="30"/>
      <c r="AA47" s="27"/>
      <c r="AB47" s="49">
        <f>7/7*1337360</f>
        <v>1337360</v>
      </c>
      <c r="AC47" s="50"/>
      <c r="AD47" s="50"/>
      <c r="AE47" s="50"/>
      <c r="AF47" s="50"/>
      <c r="AG47" s="50"/>
      <c r="AH47" s="50"/>
      <c r="AI47" s="52">
        <f t="shared" si="25"/>
        <v>1337360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2">
        <f t="shared" si="59"/>
        <v>0</v>
      </c>
      <c r="AW47" s="3">
        <f aca="true" t="shared" si="68" ref="AW47:AW52">AI47-AV47</f>
        <v>1337360</v>
      </c>
      <c r="AX47" s="51">
        <f aca="true" t="shared" si="69" ref="AX47:AX52">C47-AA47</f>
        <v>0</v>
      </c>
      <c r="AY47" s="51"/>
      <c r="AZ47" s="51">
        <f aca="true" t="shared" si="70" ref="AZ47:AZ52">D47-AB47</f>
        <v>0</v>
      </c>
      <c r="BA47" s="51"/>
      <c r="BB47" s="51">
        <f aca="true" t="shared" si="71" ref="BB47:BD48">E47-AC47</f>
        <v>0</v>
      </c>
      <c r="BC47" s="51">
        <f t="shared" si="71"/>
        <v>0</v>
      </c>
      <c r="BD47" s="51">
        <f t="shared" si="71"/>
        <v>0</v>
      </c>
      <c r="BE47" s="51"/>
      <c r="BF47" s="51">
        <f aca="true" t="shared" si="72" ref="BF47:BF52">H47-AF47</f>
        <v>0</v>
      </c>
      <c r="BG47" s="51"/>
      <c r="BH47" s="51">
        <f aca="true" t="shared" si="73" ref="BH47:BI49">I47-AG47</f>
        <v>0</v>
      </c>
      <c r="BI47" s="51">
        <f t="shared" si="73"/>
        <v>0</v>
      </c>
      <c r="BJ47" s="52">
        <f t="shared" si="60"/>
        <v>0</v>
      </c>
      <c r="BK47" s="51">
        <f aca="true" t="shared" si="74" ref="BK47:BK52">L47-AJ47</f>
        <v>0</v>
      </c>
      <c r="BL47" s="60"/>
      <c r="BM47" s="51">
        <f aca="true" t="shared" si="75" ref="BM47:BM52">M47-AK47</f>
        <v>0</v>
      </c>
      <c r="BN47" s="60"/>
      <c r="BO47" s="51">
        <f aca="true" t="shared" si="76" ref="BO47:BP49">N47-AL47</f>
        <v>0</v>
      </c>
      <c r="BP47" s="51">
        <f t="shared" si="76"/>
        <v>0</v>
      </c>
      <c r="BQ47" s="60"/>
      <c r="BR47" s="51">
        <f aca="true" t="shared" si="77" ref="BR47:BR52">P47-AN47</f>
        <v>0</v>
      </c>
      <c r="BS47" s="60"/>
      <c r="BT47" s="51">
        <f aca="true" t="shared" si="78" ref="BT47:BY47">Q47-AO47</f>
        <v>0</v>
      </c>
      <c r="BU47" s="51">
        <f t="shared" si="78"/>
        <v>0</v>
      </c>
      <c r="BV47" s="51">
        <f t="shared" si="78"/>
        <v>0</v>
      </c>
      <c r="BW47" s="51">
        <f t="shared" si="78"/>
        <v>0</v>
      </c>
      <c r="BX47" s="51">
        <f t="shared" si="78"/>
        <v>0</v>
      </c>
      <c r="BY47" s="51">
        <f t="shared" si="78"/>
        <v>0</v>
      </c>
      <c r="BZ47" s="60"/>
      <c r="CA47" s="51">
        <f aca="true" t="shared" si="79" ref="CA47:CA52">W47-AU47</f>
        <v>0</v>
      </c>
      <c r="CB47" s="52">
        <f t="shared" si="27"/>
        <v>0</v>
      </c>
      <c r="CC47" s="3">
        <f aca="true" t="shared" si="80" ref="CC47:CC52">BJ47-CB47</f>
        <v>0</v>
      </c>
    </row>
    <row r="48" spans="1:81" s="31" customFormat="1" ht="10.5" customHeight="1">
      <c r="A48" s="55" t="s">
        <v>70</v>
      </c>
      <c r="B48" s="29"/>
      <c r="C48" s="27"/>
      <c r="D48" s="49">
        <f>8/8*1326510</f>
        <v>1326510</v>
      </c>
      <c r="E48" s="48"/>
      <c r="F48" s="48"/>
      <c r="G48" s="48"/>
      <c r="H48" s="48"/>
      <c r="I48" s="48"/>
      <c r="J48" s="48"/>
      <c r="K48" s="54">
        <f>SUM(B48:J48)</f>
        <v>1326510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2">
        <f>SUM(L48:W48)</f>
        <v>0</v>
      </c>
      <c r="Y48" s="3">
        <f>K48-X48</f>
        <v>1326510</v>
      </c>
      <c r="Z48" s="30"/>
      <c r="AA48" s="27"/>
      <c r="AB48" s="49">
        <f>8/8*1326510</f>
        <v>1326510</v>
      </c>
      <c r="AC48" s="48"/>
      <c r="AD48" s="48"/>
      <c r="AE48" s="48"/>
      <c r="AF48" s="48"/>
      <c r="AG48" s="48"/>
      <c r="AH48" s="48"/>
      <c r="AI48" s="52">
        <f t="shared" si="25"/>
        <v>1326510</v>
      </c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2">
        <f t="shared" si="59"/>
        <v>0</v>
      </c>
      <c r="AW48" s="3">
        <f t="shared" si="68"/>
        <v>1326510</v>
      </c>
      <c r="AX48" s="51">
        <f t="shared" si="69"/>
        <v>0</v>
      </c>
      <c r="AY48" s="51"/>
      <c r="AZ48" s="51">
        <f t="shared" si="70"/>
        <v>0</v>
      </c>
      <c r="BA48" s="51"/>
      <c r="BB48" s="51">
        <f t="shared" si="71"/>
        <v>0</v>
      </c>
      <c r="BC48" s="51">
        <f t="shared" si="71"/>
        <v>0</v>
      </c>
      <c r="BD48" s="51">
        <f t="shared" si="71"/>
        <v>0</v>
      </c>
      <c r="BE48" s="51"/>
      <c r="BF48" s="51">
        <f t="shared" si="72"/>
        <v>0</v>
      </c>
      <c r="BG48" s="51"/>
      <c r="BH48" s="51">
        <f t="shared" si="73"/>
        <v>0</v>
      </c>
      <c r="BI48" s="51">
        <f t="shared" si="73"/>
        <v>0</v>
      </c>
      <c r="BJ48" s="52">
        <f t="shared" si="60"/>
        <v>0</v>
      </c>
      <c r="BK48" s="51">
        <f t="shared" si="74"/>
        <v>0</v>
      </c>
      <c r="BL48" s="60"/>
      <c r="BM48" s="51">
        <f t="shared" si="75"/>
        <v>0</v>
      </c>
      <c r="BN48" s="60"/>
      <c r="BO48" s="51">
        <f t="shared" si="76"/>
        <v>0</v>
      </c>
      <c r="BP48" s="51">
        <f t="shared" si="76"/>
        <v>0</v>
      </c>
      <c r="BQ48" s="60"/>
      <c r="BR48" s="51">
        <f t="shared" si="77"/>
        <v>0</v>
      </c>
      <c r="BS48" s="60"/>
      <c r="BT48" s="51">
        <f aca="true" t="shared" si="81" ref="BT48:BY48">Q48-AO48</f>
        <v>0</v>
      </c>
      <c r="BU48" s="51">
        <f t="shared" si="81"/>
        <v>0</v>
      </c>
      <c r="BV48" s="51">
        <f t="shared" si="81"/>
        <v>0</v>
      </c>
      <c r="BW48" s="51">
        <f t="shared" si="81"/>
        <v>0</v>
      </c>
      <c r="BX48" s="51">
        <f t="shared" si="81"/>
        <v>0</v>
      </c>
      <c r="BY48" s="51">
        <f t="shared" si="81"/>
        <v>0</v>
      </c>
      <c r="BZ48" s="60"/>
      <c r="CA48" s="51">
        <f t="shared" si="79"/>
        <v>0</v>
      </c>
      <c r="CB48" s="52">
        <f t="shared" si="27"/>
        <v>0</v>
      </c>
      <c r="CC48" s="3">
        <f t="shared" si="80"/>
        <v>0</v>
      </c>
    </row>
    <row r="49" spans="1:81" s="87" customFormat="1" ht="10.5" customHeight="1">
      <c r="A49" s="36" t="s">
        <v>76</v>
      </c>
      <c r="B49" s="81"/>
      <c r="C49" s="66">
        <f>9/9*10041.66*0+10/10*20333.33*12/12</f>
        <v>20333.33</v>
      </c>
      <c r="D49" s="49">
        <f>9/9*1321459</f>
        <v>1321459</v>
      </c>
      <c r="E49" s="48"/>
      <c r="F49" s="48"/>
      <c r="G49" s="48"/>
      <c r="H49" s="66">
        <f>9/9*10041.66*0+10/10*20333.33*0*12/12</f>
        <v>0</v>
      </c>
      <c r="I49" s="48"/>
      <c r="J49" s="48"/>
      <c r="K49" s="54">
        <f>SUM(B49:J49)</f>
        <v>1341792.33</v>
      </c>
      <c r="L49" s="73"/>
      <c r="M49" s="73"/>
      <c r="N49" s="73"/>
      <c r="O49" s="73"/>
      <c r="P49" s="48">
        <f>9/9*4291.6*0+10/10*13041.6</f>
        <v>13041.6</v>
      </c>
      <c r="Q49" s="73"/>
      <c r="R49" s="73"/>
      <c r="S49" s="73"/>
      <c r="T49" s="73"/>
      <c r="U49" s="73"/>
      <c r="V49" s="73"/>
      <c r="W49" s="73"/>
      <c r="X49" s="52">
        <f>SUM(L49:W49)</f>
        <v>13041.6</v>
      </c>
      <c r="Y49" s="84">
        <f>K49-X49</f>
        <v>1328750.73</v>
      </c>
      <c r="Z49" s="30"/>
      <c r="AA49" s="82"/>
      <c r="AB49" s="49">
        <f>9/9*1321459</f>
        <v>1321459</v>
      </c>
      <c r="AC49" s="48"/>
      <c r="AD49" s="48"/>
      <c r="AE49" s="48"/>
      <c r="AF49" s="48">
        <f>9/9*10041.66*0+10/10*20333.33</f>
        <v>20333.33</v>
      </c>
      <c r="AG49" s="48"/>
      <c r="AH49" s="48"/>
      <c r="AI49" s="52">
        <f t="shared" si="25"/>
        <v>1341792.33</v>
      </c>
      <c r="AJ49" s="73"/>
      <c r="AK49" s="73"/>
      <c r="AL49" s="73"/>
      <c r="AM49" s="73"/>
      <c r="AN49" s="48">
        <f>9/9*4291.6*0+10/10*13041.6</f>
        <v>13041.6</v>
      </c>
      <c r="AO49" s="73"/>
      <c r="AP49" s="73"/>
      <c r="AQ49" s="73"/>
      <c r="AR49" s="73"/>
      <c r="AS49" s="73"/>
      <c r="AT49" s="73"/>
      <c r="AU49" s="73"/>
      <c r="AV49" s="85">
        <f t="shared" si="59"/>
        <v>13041.6</v>
      </c>
      <c r="AW49" s="84">
        <f t="shared" si="68"/>
        <v>1328750.73</v>
      </c>
      <c r="AX49" s="59">
        <f t="shared" si="69"/>
        <v>20333.33</v>
      </c>
      <c r="AY49" s="59"/>
      <c r="AZ49" s="59">
        <f t="shared" si="70"/>
        <v>0</v>
      </c>
      <c r="BA49" s="59"/>
      <c r="BB49" s="59">
        <f aca="true" t="shared" si="82" ref="BB49:BD50">E49-AC49</f>
        <v>0</v>
      </c>
      <c r="BC49" s="59">
        <f t="shared" si="82"/>
        <v>0</v>
      </c>
      <c r="BD49" s="59">
        <f t="shared" si="82"/>
        <v>0</v>
      </c>
      <c r="BE49" s="59"/>
      <c r="BF49" s="59">
        <f t="shared" si="72"/>
        <v>-20333.33</v>
      </c>
      <c r="BG49" s="59"/>
      <c r="BH49" s="59">
        <f t="shared" si="73"/>
        <v>0</v>
      </c>
      <c r="BI49" s="59">
        <f t="shared" si="73"/>
        <v>0</v>
      </c>
      <c r="BJ49" s="52">
        <f t="shared" si="60"/>
        <v>0</v>
      </c>
      <c r="BK49" s="59">
        <f t="shared" si="74"/>
        <v>0</v>
      </c>
      <c r="BL49" s="86"/>
      <c r="BM49" s="59">
        <f t="shared" si="75"/>
        <v>0</v>
      </c>
      <c r="BN49" s="86"/>
      <c r="BO49" s="59">
        <f t="shared" si="76"/>
        <v>0</v>
      </c>
      <c r="BP49" s="59">
        <f t="shared" si="76"/>
        <v>0</v>
      </c>
      <c r="BQ49" s="86"/>
      <c r="BR49" s="59">
        <f t="shared" si="77"/>
        <v>0</v>
      </c>
      <c r="BS49" s="86"/>
      <c r="BT49" s="59">
        <f aca="true" t="shared" si="83" ref="BT49:BY49">Q49-AO49</f>
        <v>0</v>
      </c>
      <c r="BU49" s="59">
        <f t="shared" si="83"/>
        <v>0</v>
      </c>
      <c r="BV49" s="59">
        <f t="shared" si="83"/>
        <v>0</v>
      </c>
      <c r="BW49" s="59">
        <f t="shared" si="83"/>
        <v>0</v>
      </c>
      <c r="BX49" s="59">
        <f t="shared" si="83"/>
        <v>0</v>
      </c>
      <c r="BY49" s="59">
        <f t="shared" si="83"/>
        <v>0</v>
      </c>
      <c r="BZ49" s="86"/>
      <c r="CA49" s="59">
        <f t="shared" si="79"/>
        <v>0</v>
      </c>
      <c r="CB49" s="52">
        <f t="shared" si="27"/>
        <v>0</v>
      </c>
      <c r="CC49" s="84">
        <f t="shared" si="80"/>
        <v>0</v>
      </c>
    </row>
    <row r="50" spans="1:81" s="87" customFormat="1" ht="12.75">
      <c r="A50" s="55" t="s">
        <v>84</v>
      </c>
      <c r="B50" s="81"/>
      <c r="C50" s="82"/>
      <c r="D50" s="49">
        <f>10/10*1328539</f>
        <v>1328539</v>
      </c>
      <c r="E50" s="48"/>
      <c r="F50" s="48"/>
      <c r="G50" s="48"/>
      <c r="H50" s="48"/>
      <c r="I50" s="48"/>
      <c r="J50" s="48"/>
      <c r="K50" s="54">
        <f>SUM(B50:J50)</f>
        <v>1328539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83">
        <f>SUM(L50:W50)</f>
        <v>0</v>
      </c>
      <c r="Y50" s="84">
        <f>K50-X50</f>
        <v>1328539</v>
      </c>
      <c r="Z50" s="30"/>
      <c r="AA50" s="82"/>
      <c r="AB50" s="49">
        <f>10/10*1328539</f>
        <v>1328539</v>
      </c>
      <c r="AC50" s="48"/>
      <c r="AD50" s="48"/>
      <c r="AE50" s="48"/>
      <c r="AF50" s="48"/>
      <c r="AG50" s="48"/>
      <c r="AH50" s="48"/>
      <c r="AI50" s="52">
        <f t="shared" si="25"/>
        <v>1328539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83">
        <f t="shared" si="59"/>
        <v>0</v>
      </c>
      <c r="AW50" s="84">
        <f t="shared" si="68"/>
        <v>1328539</v>
      </c>
      <c r="AX50" s="59">
        <f t="shared" si="69"/>
        <v>0</v>
      </c>
      <c r="AY50" s="59"/>
      <c r="AZ50" s="59">
        <f t="shared" si="70"/>
        <v>0</v>
      </c>
      <c r="BA50" s="59"/>
      <c r="BB50" s="59">
        <f t="shared" si="82"/>
        <v>0</v>
      </c>
      <c r="BC50" s="59">
        <f t="shared" si="82"/>
        <v>0</v>
      </c>
      <c r="BD50" s="59">
        <f t="shared" si="82"/>
        <v>0</v>
      </c>
      <c r="BE50" s="59"/>
      <c r="BF50" s="59">
        <f t="shared" si="72"/>
        <v>0</v>
      </c>
      <c r="BG50" s="59"/>
      <c r="BH50" s="59">
        <f aca="true" t="shared" si="84" ref="BH50:BI52">I50-AG50</f>
        <v>0</v>
      </c>
      <c r="BI50" s="59">
        <f t="shared" si="84"/>
        <v>0</v>
      </c>
      <c r="BJ50" s="52">
        <f t="shared" si="60"/>
        <v>0</v>
      </c>
      <c r="BK50" s="59">
        <f t="shared" si="74"/>
        <v>0</v>
      </c>
      <c r="BL50" s="86"/>
      <c r="BM50" s="59">
        <f t="shared" si="75"/>
        <v>0</v>
      </c>
      <c r="BN50" s="86"/>
      <c r="BO50" s="59">
        <f aca="true" t="shared" si="85" ref="BO50:BP52">N50-AL50</f>
        <v>0</v>
      </c>
      <c r="BP50" s="59">
        <f t="shared" si="85"/>
        <v>0</v>
      </c>
      <c r="BQ50" s="86"/>
      <c r="BR50" s="59">
        <f t="shared" si="77"/>
        <v>0</v>
      </c>
      <c r="BS50" s="86"/>
      <c r="BT50" s="59">
        <f aca="true" t="shared" si="86" ref="BT50:BY50">Q50-AO50</f>
        <v>0</v>
      </c>
      <c r="BU50" s="59">
        <f t="shared" si="86"/>
        <v>0</v>
      </c>
      <c r="BV50" s="59">
        <f t="shared" si="86"/>
        <v>0</v>
      </c>
      <c r="BW50" s="59">
        <f t="shared" si="86"/>
        <v>0</v>
      </c>
      <c r="BX50" s="59">
        <f t="shared" si="86"/>
        <v>0</v>
      </c>
      <c r="BY50" s="59">
        <f t="shared" si="86"/>
        <v>0</v>
      </c>
      <c r="BZ50" s="86"/>
      <c r="CA50" s="59">
        <f t="shared" si="79"/>
        <v>0</v>
      </c>
      <c r="CB50" s="52">
        <f t="shared" si="27"/>
        <v>0</v>
      </c>
      <c r="CC50" s="84">
        <f t="shared" si="80"/>
        <v>0</v>
      </c>
    </row>
    <row r="51" spans="1:81" s="99" customFormat="1" ht="12">
      <c r="A51" s="22" t="s">
        <v>85</v>
      </c>
      <c r="B51" s="95"/>
      <c r="C51" s="49"/>
      <c r="D51" s="49">
        <f>11/11*1320928</f>
        <v>1320928</v>
      </c>
      <c r="E51" s="48"/>
      <c r="F51" s="48"/>
      <c r="G51" s="48"/>
      <c r="H51" s="48"/>
      <c r="I51" s="48"/>
      <c r="J51" s="48"/>
      <c r="K51" s="54">
        <f>SUM(B51:J51)</f>
        <v>1320928</v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16">
        <f>SUM(L51:W51)</f>
        <v>0</v>
      </c>
      <c r="Y51" s="3">
        <f>K51-X51</f>
        <v>1320928</v>
      </c>
      <c r="Z51" s="96"/>
      <c r="AA51" s="49"/>
      <c r="AB51" s="97">
        <f>11/11*1320928</f>
        <v>1320928</v>
      </c>
      <c r="AC51" s="48"/>
      <c r="AD51" s="48"/>
      <c r="AE51" s="48"/>
      <c r="AF51" s="48"/>
      <c r="AG51" s="48"/>
      <c r="AH51" s="48"/>
      <c r="AI51" s="54">
        <f t="shared" si="25"/>
        <v>1320928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16">
        <f t="shared" si="59"/>
        <v>0</v>
      </c>
      <c r="AW51" s="3">
        <f t="shared" si="68"/>
        <v>1320928</v>
      </c>
      <c r="AX51" s="66">
        <f t="shared" si="69"/>
        <v>0</v>
      </c>
      <c r="AY51" s="66"/>
      <c r="AZ51" s="66">
        <f t="shared" si="70"/>
        <v>0</v>
      </c>
      <c r="BA51" s="66"/>
      <c r="BB51" s="66">
        <f aca="true" t="shared" si="87" ref="BB51:BD52">E51-AC51</f>
        <v>0</v>
      </c>
      <c r="BC51" s="66">
        <f t="shared" si="87"/>
        <v>0</v>
      </c>
      <c r="BD51" s="66">
        <f t="shared" si="87"/>
        <v>0</v>
      </c>
      <c r="BE51" s="66"/>
      <c r="BF51" s="66">
        <f t="shared" si="72"/>
        <v>0</v>
      </c>
      <c r="BG51" s="66"/>
      <c r="BH51" s="66">
        <f t="shared" si="84"/>
        <v>0</v>
      </c>
      <c r="BI51" s="66">
        <f t="shared" si="84"/>
        <v>0</v>
      </c>
      <c r="BJ51" s="54">
        <f t="shared" si="60"/>
        <v>0</v>
      </c>
      <c r="BK51" s="66">
        <f t="shared" si="74"/>
        <v>0</v>
      </c>
      <c r="BL51" s="98"/>
      <c r="BM51" s="66">
        <f t="shared" si="75"/>
        <v>0</v>
      </c>
      <c r="BN51" s="98"/>
      <c r="BO51" s="66">
        <f t="shared" si="85"/>
        <v>0</v>
      </c>
      <c r="BP51" s="66">
        <f t="shared" si="85"/>
        <v>0</v>
      </c>
      <c r="BQ51" s="98"/>
      <c r="BR51" s="66">
        <f t="shared" si="77"/>
        <v>0</v>
      </c>
      <c r="BS51" s="98"/>
      <c r="BT51" s="66">
        <f aca="true" t="shared" si="88" ref="BT51:BY51">Q51-AO51</f>
        <v>0</v>
      </c>
      <c r="BU51" s="66">
        <f t="shared" si="88"/>
        <v>0</v>
      </c>
      <c r="BV51" s="66">
        <f t="shared" si="88"/>
        <v>0</v>
      </c>
      <c r="BW51" s="66">
        <f t="shared" si="88"/>
        <v>0</v>
      </c>
      <c r="BX51" s="66">
        <f t="shared" si="88"/>
        <v>0</v>
      </c>
      <c r="BY51" s="66">
        <f t="shared" si="88"/>
        <v>0</v>
      </c>
      <c r="BZ51" s="98"/>
      <c r="CA51" s="66">
        <f t="shared" si="79"/>
        <v>0</v>
      </c>
      <c r="CB51" s="54">
        <f t="shared" si="27"/>
        <v>0</v>
      </c>
      <c r="CC51" s="3">
        <f t="shared" si="80"/>
        <v>0</v>
      </c>
    </row>
    <row r="52" spans="1:81" s="31" customFormat="1" ht="12.75">
      <c r="A52" s="55" t="s">
        <v>98</v>
      </c>
      <c r="B52" s="63"/>
      <c r="C52" s="27"/>
      <c r="D52" s="56">
        <f>12/12*1330312</f>
        <v>1330312</v>
      </c>
      <c r="E52" s="28"/>
      <c r="F52" s="28"/>
      <c r="G52" s="28"/>
      <c r="H52" s="28"/>
      <c r="I52" s="28"/>
      <c r="J52" s="28"/>
      <c r="K52" s="52">
        <f>SUM(B52:J52)</f>
        <v>1330312</v>
      </c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2">
        <f>SUM(L52:W52)</f>
        <v>0</v>
      </c>
      <c r="Y52" s="67">
        <f>K52-X52</f>
        <v>1330312</v>
      </c>
      <c r="Z52" s="68"/>
      <c r="AA52" s="27"/>
      <c r="AB52" s="80"/>
      <c r="AC52" s="28"/>
      <c r="AD52" s="28"/>
      <c r="AE52" s="28"/>
      <c r="AF52" s="28"/>
      <c r="AG52" s="28"/>
      <c r="AH52" s="28"/>
      <c r="AI52" s="52">
        <f>SUM(AA52:AH52)</f>
        <v>0</v>
      </c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2">
        <f>SUM(AJ52:AU52)</f>
        <v>0</v>
      </c>
      <c r="AW52" s="67">
        <f t="shared" si="68"/>
        <v>0</v>
      </c>
      <c r="AX52" s="51">
        <f t="shared" si="69"/>
        <v>0</v>
      </c>
      <c r="AY52" s="51"/>
      <c r="AZ52" s="51">
        <f t="shared" si="70"/>
        <v>1330312</v>
      </c>
      <c r="BA52" s="51"/>
      <c r="BB52" s="51">
        <f t="shared" si="87"/>
        <v>0</v>
      </c>
      <c r="BC52" s="51">
        <f t="shared" si="87"/>
        <v>0</v>
      </c>
      <c r="BD52" s="51">
        <f t="shared" si="87"/>
        <v>0</v>
      </c>
      <c r="BE52" s="51"/>
      <c r="BF52" s="51">
        <f t="shared" si="72"/>
        <v>0</v>
      </c>
      <c r="BG52" s="51"/>
      <c r="BH52" s="51">
        <f t="shared" si="84"/>
        <v>0</v>
      </c>
      <c r="BI52" s="51">
        <f t="shared" si="84"/>
        <v>0</v>
      </c>
      <c r="BJ52" s="52">
        <f>SUM(AX52,AZ52,BB52,BC52,BF52,BH52,BI52)</f>
        <v>1330312</v>
      </c>
      <c r="BK52" s="51">
        <f t="shared" si="74"/>
        <v>0</v>
      </c>
      <c r="BL52" s="69"/>
      <c r="BM52" s="51">
        <f t="shared" si="75"/>
        <v>0</v>
      </c>
      <c r="BN52" s="69"/>
      <c r="BO52" s="51">
        <f t="shared" si="85"/>
        <v>0</v>
      </c>
      <c r="BP52" s="51">
        <f t="shared" si="85"/>
        <v>0</v>
      </c>
      <c r="BQ52" s="69"/>
      <c r="BR52" s="51">
        <f t="shared" si="77"/>
        <v>0</v>
      </c>
      <c r="BS52" s="69"/>
      <c r="BT52" s="51">
        <f aca="true" t="shared" si="89" ref="BT52:BY52">Q52-AO52</f>
        <v>0</v>
      </c>
      <c r="BU52" s="51">
        <f t="shared" si="89"/>
        <v>0</v>
      </c>
      <c r="BV52" s="51">
        <f t="shared" si="89"/>
        <v>0</v>
      </c>
      <c r="BW52" s="51">
        <f t="shared" si="89"/>
        <v>0</v>
      </c>
      <c r="BX52" s="51">
        <f t="shared" si="89"/>
        <v>0</v>
      </c>
      <c r="BY52" s="51">
        <f t="shared" si="89"/>
        <v>0</v>
      </c>
      <c r="BZ52" s="69"/>
      <c r="CA52" s="51">
        <f t="shared" si="79"/>
        <v>0</v>
      </c>
      <c r="CB52" s="52">
        <f>SUM(BK52,BM52,BO52,BP52,BR52,BT52,BU52,BV52,BY52,CA52)</f>
        <v>0</v>
      </c>
      <c r="CC52" s="67">
        <f t="shared" si="80"/>
        <v>1330312</v>
      </c>
    </row>
    <row r="53" spans="1:81" ht="12.75">
      <c r="A53" s="22" t="s">
        <v>50</v>
      </c>
      <c r="B53" s="15"/>
      <c r="C53" s="14"/>
      <c r="D53" s="14"/>
      <c r="E53" s="14"/>
      <c r="F53" s="14"/>
      <c r="G53" s="14"/>
      <c r="H53" s="14"/>
      <c r="I53" s="14">
        <f>647/647*134688</f>
        <v>134688</v>
      </c>
      <c r="J53" s="14"/>
      <c r="K53" s="52">
        <f t="shared" si="63"/>
        <v>134688</v>
      </c>
      <c r="L53" s="14"/>
      <c r="M53" s="14"/>
      <c r="N53" s="14"/>
      <c r="O53" s="14"/>
      <c r="P53" s="14"/>
      <c r="Q53" s="14"/>
      <c r="R53" s="14"/>
      <c r="S53" s="32">
        <f>5/5*38/38*4125</f>
        <v>4125</v>
      </c>
      <c r="T53" s="33"/>
      <c r="U53" s="33"/>
      <c r="V53" s="33"/>
      <c r="W53" s="33">
        <f>4/4*1464</f>
        <v>1464</v>
      </c>
      <c r="X53" s="52">
        <f t="shared" si="64"/>
        <v>5589</v>
      </c>
      <c r="Y53" s="3">
        <f t="shared" si="65"/>
        <v>129099</v>
      </c>
      <c r="Z53" s="26">
        <f>(I53-688*0-88*0+312)*3%</f>
        <v>4050</v>
      </c>
      <c r="AA53" s="14"/>
      <c r="AB53" s="14"/>
      <c r="AC53" s="14"/>
      <c r="AD53" s="14"/>
      <c r="AE53" s="14"/>
      <c r="AF53" s="14"/>
      <c r="AG53" s="14">
        <f>647/647*134688</f>
        <v>134688</v>
      </c>
      <c r="AH53" s="14"/>
      <c r="AI53" s="52">
        <f t="shared" si="25"/>
        <v>134688</v>
      </c>
      <c r="AJ53" s="14"/>
      <c r="AK53" s="14"/>
      <c r="AL53" s="14"/>
      <c r="AM53" s="14"/>
      <c r="AN53" s="14"/>
      <c r="AO53" s="14"/>
      <c r="AP53" s="14"/>
      <c r="AQ53" s="32">
        <f>5/5*38/38*4125</f>
        <v>4125</v>
      </c>
      <c r="AR53" s="33"/>
      <c r="AS53" s="33"/>
      <c r="AT53" s="33"/>
      <c r="AU53" s="33">
        <f>4/4*1464</f>
        <v>1464</v>
      </c>
      <c r="AV53" s="52">
        <f t="shared" si="59"/>
        <v>5589</v>
      </c>
      <c r="AW53" s="3">
        <f t="shared" si="66"/>
        <v>129099</v>
      </c>
      <c r="AX53" s="51">
        <f t="shared" si="26"/>
        <v>0</v>
      </c>
      <c r="AZ53" s="51">
        <f t="shared" si="33"/>
        <v>0</v>
      </c>
      <c r="BB53" s="51">
        <f t="shared" si="34"/>
        <v>0</v>
      </c>
      <c r="BC53" s="51">
        <f t="shared" si="35"/>
        <v>0</v>
      </c>
      <c r="BD53" s="51">
        <f t="shared" si="36"/>
        <v>0</v>
      </c>
      <c r="BF53" s="51">
        <f t="shared" si="37"/>
        <v>0</v>
      </c>
      <c r="BH53" s="51">
        <f t="shared" si="38"/>
        <v>0</v>
      </c>
      <c r="BI53" s="51">
        <f t="shared" si="39"/>
        <v>0</v>
      </c>
      <c r="BJ53" s="52">
        <f t="shared" si="60"/>
        <v>0</v>
      </c>
      <c r="BK53" s="51">
        <f t="shared" si="40"/>
        <v>0</v>
      </c>
      <c r="BM53" s="51">
        <f t="shared" si="41"/>
        <v>0</v>
      </c>
      <c r="BO53" s="51">
        <f t="shared" si="42"/>
        <v>0</v>
      </c>
      <c r="BP53" s="51">
        <f t="shared" si="43"/>
        <v>0</v>
      </c>
      <c r="BR53" s="51">
        <f t="shared" si="44"/>
        <v>0</v>
      </c>
      <c r="BT53" s="51">
        <f t="shared" si="45"/>
        <v>0</v>
      </c>
      <c r="BU53" s="51">
        <f t="shared" si="46"/>
        <v>0</v>
      </c>
      <c r="BV53" s="51">
        <f t="shared" si="47"/>
        <v>0</v>
      </c>
      <c r="BW53" s="51">
        <f t="shared" si="48"/>
        <v>0</v>
      </c>
      <c r="BX53" s="51">
        <f t="shared" si="49"/>
        <v>0</v>
      </c>
      <c r="BY53" s="51">
        <f t="shared" si="50"/>
        <v>0</v>
      </c>
      <c r="CA53" s="51">
        <f t="shared" si="51"/>
        <v>0</v>
      </c>
      <c r="CB53" s="52">
        <f t="shared" si="27"/>
        <v>0</v>
      </c>
      <c r="CC53" s="3">
        <f t="shared" si="67"/>
        <v>0</v>
      </c>
    </row>
    <row r="54" spans="1:81" ht="12.75">
      <c r="A54" s="5" t="s">
        <v>28</v>
      </c>
      <c r="C54" s="53">
        <f>762.5*0+2/2*1387.5*0+3/3*2075*0+4/4*2862.5*0+5/5*3487.5*0+6/6*4287.5*0+7/7*5275*0+8/8*6312.5*0+9/9*7237.5*0+10/10*7912.5*0+11/11*8562.5*0+12/12*9087.5</f>
        <v>9087.5</v>
      </c>
      <c r="D54" s="33"/>
      <c r="E54" s="33"/>
      <c r="F54" s="33"/>
      <c r="G54" s="33"/>
      <c r="H54" s="33"/>
      <c r="I54" s="33"/>
      <c r="J54" s="33"/>
      <c r="K54" s="52">
        <f t="shared" si="28"/>
        <v>9087.5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2">
        <f t="shared" si="61"/>
        <v>0</v>
      </c>
      <c r="Y54" s="3">
        <f t="shared" si="62"/>
        <v>9087.5</v>
      </c>
      <c r="AA54" s="78">
        <f>762.5*0+2/2*1387.5*0+3/3*2075*0+4/4*2862.5*0+5/5*3487.5*0+6/6*4287.5*0+7/7*5275*0+8/8*6312.5*0+9/9*7237.5*0+10/10*7912.5*0+11/11*8562.5</f>
        <v>8562.5</v>
      </c>
      <c r="AB54" s="33"/>
      <c r="AC54" s="33"/>
      <c r="AD54" s="33"/>
      <c r="AE54" s="33"/>
      <c r="AF54" s="33"/>
      <c r="AG54" s="33"/>
      <c r="AH54" s="33"/>
      <c r="AI54" s="52">
        <f t="shared" si="25"/>
        <v>8562.5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2">
        <f t="shared" si="59"/>
        <v>0</v>
      </c>
      <c r="AW54" s="3">
        <f t="shared" si="66"/>
        <v>8562.5</v>
      </c>
      <c r="AX54" s="51">
        <f t="shared" si="26"/>
        <v>525</v>
      </c>
      <c r="AZ54" s="51">
        <f t="shared" si="33"/>
        <v>0</v>
      </c>
      <c r="BB54" s="51">
        <f t="shared" si="34"/>
        <v>0</v>
      </c>
      <c r="BC54" s="51">
        <f t="shared" si="35"/>
        <v>0</v>
      </c>
      <c r="BD54" s="51">
        <f t="shared" si="36"/>
        <v>0</v>
      </c>
      <c r="BF54" s="51">
        <f t="shared" si="37"/>
        <v>0</v>
      </c>
      <c r="BH54" s="51">
        <f t="shared" si="38"/>
        <v>0</v>
      </c>
      <c r="BI54" s="51">
        <f t="shared" si="39"/>
        <v>0</v>
      </c>
      <c r="BJ54" s="52">
        <f t="shared" si="60"/>
        <v>525</v>
      </c>
      <c r="BK54" s="51">
        <f t="shared" si="40"/>
        <v>0</v>
      </c>
      <c r="BM54" s="51">
        <f t="shared" si="41"/>
        <v>0</v>
      </c>
      <c r="BO54" s="51">
        <f t="shared" si="42"/>
        <v>0</v>
      </c>
      <c r="BP54" s="51">
        <f t="shared" si="43"/>
        <v>0</v>
      </c>
      <c r="BR54" s="51">
        <f t="shared" si="44"/>
        <v>0</v>
      </c>
      <c r="BT54" s="51">
        <f t="shared" si="45"/>
        <v>0</v>
      </c>
      <c r="BU54" s="51">
        <f t="shared" si="46"/>
        <v>0</v>
      </c>
      <c r="BV54" s="51">
        <f t="shared" si="47"/>
        <v>0</v>
      </c>
      <c r="BW54" s="51">
        <f t="shared" si="48"/>
        <v>0</v>
      </c>
      <c r="BX54" s="51">
        <f t="shared" si="49"/>
        <v>0</v>
      </c>
      <c r="BY54" s="51">
        <f t="shared" si="50"/>
        <v>0</v>
      </c>
      <c r="CA54" s="51">
        <f t="shared" si="51"/>
        <v>0</v>
      </c>
      <c r="CB54" s="52">
        <f t="shared" si="27"/>
        <v>0</v>
      </c>
      <c r="CC54" s="3">
        <f t="shared" si="67"/>
        <v>525</v>
      </c>
    </row>
    <row r="55" spans="1:81" ht="12.75">
      <c r="A55" s="5" t="s">
        <v>30</v>
      </c>
      <c r="C55" s="53">
        <f>1725*0+2/2*3208.34*0+3/3*4600.01*0+4/4*6658.34*0+5/5*8400.01*0+6/6*9758.34*0+7/7*11533.34*0+8/8*12658.34*0+9/9*13833.34*0+10/10*15941.67*0+11/11*17150*0+12/12*18208.33</f>
        <v>18208.33</v>
      </c>
      <c r="D55" s="33"/>
      <c r="E55" s="33"/>
      <c r="F55" s="33"/>
      <c r="G55" s="33"/>
      <c r="H55" s="33"/>
      <c r="I55" s="33"/>
      <c r="J55" s="33"/>
      <c r="K55" s="52">
        <f t="shared" si="28"/>
        <v>18208.33</v>
      </c>
      <c r="L55" s="14">
        <f>6/6*144.22+11/11*144.22</f>
        <v>288.44</v>
      </c>
      <c r="M55" s="14"/>
      <c r="N55" s="14"/>
      <c r="O55" s="14"/>
      <c r="P55" s="14"/>
      <c r="Q55" s="51">
        <f>4/4*8400+7/7*8400+11/11*8400+12/12*8400</f>
        <v>33600</v>
      </c>
      <c r="R55" s="51">
        <f>4/4*2856+7/7*2856+11/11*2856+12/12*2856</f>
        <v>11424</v>
      </c>
      <c r="S55" s="14"/>
      <c r="T55" s="14"/>
      <c r="U55" s="14"/>
      <c r="V55" s="14">
        <f>6/6*-0.06+11/11*-0.06</f>
        <v>-0.12</v>
      </c>
      <c r="W55" s="14"/>
      <c r="X55" s="52">
        <f t="shared" si="61"/>
        <v>45312.32</v>
      </c>
      <c r="Y55" s="3">
        <f t="shared" si="62"/>
        <v>-27103.989999999998</v>
      </c>
      <c r="AA55" s="78">
        <f>1725*0+2/2*3208.34*0+3/3*4600.01*0+4/4*6658.34*0+5/5*8400.01*0+6/6*9758.34*0+7/7*11533.34*0+8/8*12658.34*0+9/9*13833.34*0+10/10*15941.67*0+11/11*17150</f>
        <v>17150</v>
      </c>
      <c r="AB55" s="33"/>
      <c r="AC55" s="33"/>
      <c r="AD55" s="33"/>
      <c r="AE55" s="33"/>
      <c r="AF55" s="33"/>
      <c r="AG55" s="33"/>
      <c r="AH55" s="33"/>
      <c r="AI55" s="52">
        <f t="shared" si="25"/>
        <v>17150</v>
      </c>
      <c r="AJ55" s="76">
        <f>6/6*144.22+11/11*144.22</f>
        <v>288.44</v>
      </c>
      <c r="AK55" s="14"/>
      <c r="AL55" s="14"/>
      <c r="AM55" s="14"/>
      <c r="AN55" s="14"/>
      <c r="AO55" s="76">
        <f>4/4*8400+7/7*8400+11/11*8400</f>
        <v>25200</v>
      </c>
      <c r="AP55" s="76">
        <f>4/4*2856+7/7*2856+11/11*2856</f>
        <v>8568</v>
      </c>
      <c r="AQ55" s="14"/>
      <c r="AR55" s="14"/>
      <c r="AS55" s="14"/>
      <c r="AT55" s="76">
        <f>6/6*-0.06+11/11*-0.06</f>
        <v>-0.12</v>
      </c>
      <c r="AU55" s="14"/>
      <c r="AV55" s="52">
        <f t="shared" si="59"/>
        <v>34056.32</v>
      </c>
      <c r="AW55" s="3">
        <f t="shared" si="66"/>
        <v>-16906.32</v>
      </c>
      <c r="AX55" s="51">
        <f t="shared" si="26"/>
        <v>1058.3300000000017</v>
      </c>
      <c r="AZ55" s="51">
        <f t="shared" si="33"/>
        <v>0</v>
      </c>
      <c r="BB55" s="51">
        <f t="shared" si="34"/>
        <v>0</v>
      </c>
      <c r="BC55" s="51">
        <f t="shared" si="35"/>
        <v>0</v>
      </c>
      <c r="BD55" s="51">
        <f t="shared" si="36"/>
        <v>0</v>
      </c>
      <c r="BF55" s="51">
        <f t="shared" si="37"/>
        <v>0</v>
      </c>
      <c r="BH55" s="51">
        <f t="shared" si="38"/>
        <v>0</v>
      </c>
      <c r="BI55" s="51">
        <f t="shared" si="39"/>
        <v>0</v>
      </c>
      <c r="BJ55" s="52">
        <f t="shared" si="60"/>
        <v>1058.3300000000017</v>
      </c>
      <c r="BK55" s="51">
        <f t="shared" si="40"/>
        <v>0</v>
      </c>
      <c r="BM55" s="51">
        <f t="shared" si="41"/>
        <v>0</v>
      </c>
      <c r="BO55" s="51">
        <f t="shared" si="42"/>
        <v>0</v>
      </c>
      <c r="BP55" s="51">
        <f t="shared" si="43"/>
        <v>0</v>
      </c>
      <c r="BR55" s="51">
        <f t="shared" si="44"/>
        <v>0</v>
      </c>
      <c r="BT55" s="51">
        <f t="shared" si="45"/>
        <v>8400</v>
      </c>
      <c r="BU55" s="51">
        <f t="shared" si="46"/>
        <v>2856</v>
      </c>
      <c r="BV55" s="51">
        <f t="shared" si="47"/>
        <v>0</v>
      </c>
      <c r="BW55" s="51">
        <f t="shared" si="48"/>
        <v>0</v>
      </c>
      <c r="BX55" s="51">
        <f t="shared" si="49"/>
        <v>0</v>
      </c>
      <c r="BY55" s="51">
        <f t="shared" si="50"/>
        <v>0</v>
      </c>
      <c r="CA55" s="51">
        <f t="shared" si="51"/>
        <v>0</v>
      </c>
      <c r="CB55" s="52">
        <f t="shared" si="27"/>
        <v>11256</v>
      </c>
      <c r="CC55" s="3">
        <f t="shared" si="67"/>
        <v>-10197.669999999998</v>
      </c>
    </row>
    <row r="56" spans="1:81" ht="12.75">
      <c r="A56" s="5" t="s">
        <v>34</v>
      </c>
      <c r="C56" s="51">
        <f>2/2*69961.09+11/11*5948</f>
        <v>75909.09</v>
      </c>
      <c r="D56" s="14"/>
      <c r="E56" s="14"/>
      <c r="F56" s="14"/>
      <c r="G56" s="14"/>
      <c r="H56" s="51">
        <f>(2/2*69961.09+11/11*5948)*0*12/12</f>
        <v>0</v>
      </c>
      <c r="I56" s="14"/>
      <c r="J56" s="14"/>
      <c r="K56" s="52">
        <f t="shared" si="28"/>
        <v>75909.09</v>
      </c>
      <c r="L56" s="14">
        <f>1489.48*0+2/2*1696.15</f>
        <v>1696.15</v>
      </c>
      <c r="M56" s="14"/>
      <c r="N56" s="14"/>
      <c r="O56" s="14"/>
      <c r="P56" s="14">
        <f>8500*0+2/2*25206.83*0+3/3*29083.83</f>
        <v>29083.83</v>
      </c>
      <c r="Q56" s="14"/>
      <c r="R56" s="14"/>
      <c r="S56" s="14">
        <f>11/11*5948</f>
        <v>5948</v>
      </c>
      <c r="T56" s="14"/>
      <c r="U56" s="14"/>
      <c r="V56" s="14">
        <f>-0.01*0+3/3*-0.41</f>
        <v>-0.41</v>
      </c>
      <c r="W56" s="14"/>
      <c r="X56" s="52">
        <f>SUM(L56:W56)</f>
        <v>36727.57</v>
      </c>
      <c r="Y56" s="3">
        <f>K56-X56</f>
        <v>39181.52</v>
      </c>
      <c r="AA56" s="14"/>
      <c r="AB56" s="14"/>
      <c r="AC56" s="14"/>
      <c r="AD56" s="14"/>
      <c r="AE56" s="14"/>
      <c r="AF56" s="64">
        <f>2/2*69961.09+11/11*5948</f>
        <v>75909.09</v>
      </c>
      <c r="AG56" s="14"/>
      <c r="AH56" s="14"/>
      <c r="AI56" s="52">
        <f t="shared" si="25"/>
        <v>75909.09</v>
      </c>
      <c r="AJ56" s="14">
        <f>1489.48*0+2/2*1696.15</f>
        <v>1696.15</v>
      </c>
      <c r="AK56" s="14"/>
      <c r="AL56" s="14"/>
      <c r="AM56" s="14"/>
      <c r="AN56" s="14">
        <f>8500*0+2/2*25206.83*0+3/3*29083.83</f>
        <v>29083.83</v>
      </c>
      <c r="AO56" s="14"/>
      <c r="AP56" s="14"/>
      <c r="AQ56" s="76">
        <f>11/11*5948</f>
        <v>5948</v>
      </c>
      <c r="AR56" s="14"/>
      <c r="AS56" s="14"/>
      <c r="AT56" s="14">
        <f>-0.01*0+3/3*-0.41</f>
        <v>-0.41</v>
      </c>
      <c r="AU56" s="14"/>
      <c r="AV56" s="52">
        <f t="shared" si="59"/>
        <v>36727.57</v>
      </c>
      <c r="AW56" s="3">
        <f t="shared" si="66"/>
        <v>39181.52</v>
      </c>
      <c r="AX56" s="51">
        <f t="shared" si="26"/>
        <v>75909.09</v>
      </c>
      <c r="AZ56" s="51">
        <f t="shared" si="33"/>
        <v>0</v>
      </c>
      <c r="BB56" s="51">
        <f t="shared" si="34"/>
        <v>0</v>
      </c>
      <c r="BC56" s="51">
        <f t="shared" si="35"/>
        <v>0</v>
      </c>
      <c r="BD56" s="51">
        <f t="shared" si="36"/>
        <v>0</v>
      </c>
      <c r="BF56" s="51">
        <f t="shared" si="37"/>
        <v>-75909.09</v>
      </c>
      <c r="BH56" s="51">
        <f t="shared" si="38"/>
        <v>0</v>
      </c>
      <c r="BI56" s="51">
        <f t="shared" si="39"/>
        <v>0</v>
      </c>
      <c r="BJ56" s="52">
        <f t="shared" si="60"/>
        <v>0</v>
      </c>
      <c r="BK56" s="51">
        <f t="shared" si="40"/>
        <v>0</v>
      </c>
      <c r="BM56" s="51">
        <f t="shared" si="41"/>
        <v>0</v>
      </c>
      <c r="BO56" s="51">
        <f t="shared" si="42"/>
        <v>0</v>
      </c>
      <c r="BP56" s="51">
        <f t="shared" si="43"/>
        <v>0</v>
      </c>
      <c r="BR56" s="51">
        <f t="shared" si="44"/>
        <v>0</v>
      </c>
      <c r="BT56" s="51">
        <f t="shared" si="45"/>
        <v>0</v>
      </c>
      <c r="BU56" s="51">
        <f t="shared" si="46"/>
        <v>0</v>
      </c>
      <c r="BV56" s="51">
        <f t="shared" si="47"/>
        <v>0</v>
      </c>
      <c r="BW56" s="51">
        <f t="shared" si="48"/>
        <v>0</v>
      </c>
      <c r="BX56" s="51">
        <f t="shared" si="49"/>
        <v>0</v>
      </c>
      <c r="BY56" s="51">
        <f t="shared" si="50"/>
        <v>0</v>
      </c>
      <c r="CA56" s="51">
        <f t="shared" si="51"/>
        <v>0</v>
      </c>
      <c r="CB56" s="52">
        <f t="shared" si="27"/>
        <v>0</v>
      </c>
      <c r="CC56" s="3">
        <f t="shared" si="67"/>
        <v>0</v>
      </c>
    </row>
    <row r="57" spans="1:81" ht="12.75" customHeight="1" hidden="1">
      <c r="A57" s="5" t="s">
        <v>29</v>
      </c>
      <c r="C57" s="14"/>
      <c r="D57" s="14"/>
      <c r="E57" s="14"/>
      <c r="F57" s="14"/>
      <c r="G57" s="14"/>
      <c r="H57" s="14"/>
      <c r="I57" s="14"/>
      <c r="J57" s="14"/>
      <c r="K57" s="2">
        <f t="shared" si="28"/>
        <v>0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2">
        <f t="shared" si="61"/>
        <v>0</v>
      </c>
      <c r="Y57" s="3">
        <f t="shared" si="62"/>
        <v>0</v>
      </c>
      <c r="AA57" s="14"/>
      <c r="AB57" s="14"/>
      <c r="AC57" s="14"/>
      <c r="AD57" s="14"/>
      <c r="AE57" s="14"/>
      <c r="AF57" s="14"/>
      <c r="AG57" s="14"/>
      <c r="AH57" s="14"/>
      <c r="AI57" s="52">
        <f t="shared" si="25"/>
        <v>0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2">
        <f aca="true" t="shared" si="90" ref="AV57:AV68">SUM(AJ57:AU57)</f>
        <v>0</v>
      </c>
      <c r="AW57" s="3">
        <f t="shared" si="66"/>
        <v>0</v>
      </c>
      <c r="AX57" s="51">
        <f t="shared" si="26"/>
        <v>0</v>
      </c>
      <c r="AZ57" s="51">
        <f t="shared" si="33"/>
        <v>0</v>
      </c>
      <c r="BB57" s="51">
        <f t="shared" si="34"/>
        <v>0</v>
      </c>
      <c r="BC57" s="51">
        <f t="shared" si="35"/>
        <v>0</v>
      </c>
      <c r="BD57" s="51">
        <f t="shared" si="36"/>
        <v>0</v>
      </c>
      <c r="BF57" s="51">
        <f t="shared" si="37"/>
        <v>0</v>
      </c>
      <c r="BH57" s="51">
        <f t="shared" si="38"/>
        <v>0</v>
      </c>
      <c r="BI57" s="51">
        <f t="shared" si="39"/>
        <v>0</v>
      </c>
      <c r="BJ57" s="52">
        <f t="shared" si="60"/>
        <v>0</v>
      </c>
      <c r="BK57" s="51">
        <f t="shared" si="40"/>
        <v>0</v>
      </c>
      <c r="BM57" s="51">
        <f t="shared" si="41"/>
        <v>0</v>
      </c>
      <c r="BO57" s="51">
        <f t="shared" si="42"/>
        <v>0</v>
      </c>
      <c r="BP57" s="51">
        <f t="shared" si="43"/>
        <v>0</v>
      </c>
      <c r="BR57" s="51">
        <f t="shared" si="44"/>
        <v>0</v>
      </c>
      <c r="BT57" s="51">
        <f t="shared" si="45"/>
        <v>0</v>
      </c>
      <c r="BU57" s="51">
        <f t="shared" si="46"/>
        <v>0</v>
      </c>
      <c r="BV57" s="51">
        <f t="shared" si="47"/>
        <v>0</v>
      </c>
      <c r="BW57" s="51">
        <f t="shared" si="48"/>
        <v>0</v>
      </c>
      <c r="BX57" s="51">
        <f t="shared" si="49"/>
        <v>0</v>
      </c>
      <c r="BY57" s="51">
        <f t="shared" si="50"/>
        <v>0</v>
      </c>
      <c r="CA57" s="51">
        <f t="shared" si="51"/>
        <v>0</v>
      </c>
      <c r="CB57" s="52">
        <f t="shared" si="27"/>
        <v>0</v>
      </c>
      <c r="CC57" s="3">
        <f t="shared" si="67"/>
        <v>0</v>
      </c>
    </row>
    <row r="58" spans="1:81" ht="12.75">
      <c r="A58" s="5" t="s">
        <v>63</v>
      </c>
      <c r="C58" s="14"/>
      <c r="D58" s="14"/>
      <c r="E58" s="14"/>
      <c r="F58" s="14"/>
      <c r="G58" s="14"/>
      <c r="H58" s="14"/>
      <c r="I58" s="14"/>
      <c r="J58" s="14"/>
      <c r="K58" s="2">
        <f t="shared" si="28"/>
        <v>0</v>
      </c>
      <c r="L58" s="14"/>
      <c r="M58" s="14"/>
      <c r="N58" s="14"/>
      <c r="O58" s="14">
        <f>2/2*19478.5</f>
        <v>19478.5</v>
      </c>
      <c r="P58" s="14"/>
      <c r="Q58" s="14"/>
      <c r="R58" s="14"/>
      <c r="S58" s="14"/>
      <c r="T58" s="14"/>
      <c r="U58" s="14"/>
      <c r="V58" s="14"/>
      <c r="W58" s="14"/>
      <c r="X58" s="52">
        <f t="shared" si="61"/>
        <v>19478.5</v>
      </c>
      <c r="Y58" s="3">
        <f t="shared" si="62"/>
        <v>-19478.5</v>
      </c>
      <c r="Z58" s="14"/>
      <c r="AA58" s="14"/>
      <c r="AB58" s="14"/>
      <c r="AC58" s="14"/>
      <c r="AD58" s="14"/>
      <c r="AE58" s="14"/>
      <c r="AF58" s="14"/>
      <c r="AG58" s="14"/>
      <c r="AH58" s="14"/>
      <c r="AI58" s="52">
        <f t="shared" si="25"/>
        <v>0</v>
      </c>
      <c r="AJ58" s="14"/>
      <c r="AK58" s="14"/>
      <c r="AL58" s="14"/>
      <c r="AM58" s="14">
        <f>2/2*19478.5</f>
        <v>19478.5</v>
      </c>
      <c r="AN58" s="14"/>
      <c r="AO58" s="14"/>
      <c r="AP58" s="14"/>
      <c r="AQ58" s="14"/>
      <c r="AR58" s="14"/>
      <c r="AS58" s="14"/>
      <c r="AT58" s="14"/>
      <c r="AU58" s="14"/>
      <c r="AV58" s="52">
        <f t="shared" si="90"/>
        <v>19478.5</v>
      </c>
      <c r="AW58" s="3">
        <f t="shared" si="66"/>
        <v>-19478.5</v>
      </c>
      <c r="AX58" s="51">
        <f t="shared" si="26"/>
        <v>0</v>
      </c>
      <c r="AZ58" s="51">
        <f t="shared" si="33"/>
        <v>0</v>
      </c>
      <c r="BB58" s="51">
        <f t="shared" si="34"/>
        <v>0</v>
      </c>
      <c r="BC58" s="51">
        <f t="shared" si="35"/>
        <v>0</v>
      </c>
      <c r="BD58" s="51">
        <f t="shared" si="36"/>
        <v>0</v>
      </c>
      <c r="BF58" s="51">
        <f t="shared" si="37"/>
        <v>0</v>
      </c>
      <c r="BH58" s="51">
        <f t="shared" si="38"/>
        <v>0</v>
      </c>
      <c r="BI58" s="51">
        <f t="shared" si="39"/>
        <v>0</v>
      </c>
      <c r="BJ58" s="52">
        <f t="shared" si="60"/>
        <v>0</v>
      </c>
      <c r="BK58" s="51">
        <f t="shared" si="40"/>
        <v>0</v>
      </c>
      <c r="BM58" s="51">
        <f t="shared" si="41"/>
        <v>0</v>
      </c>
      <c r="BO58" s="51">
        <f t="shared" si="42"/>
        <v>0</v>
      </c>
      <c r="BP58" s="51">
        <f t="shared" si="43"/>
        <v>0</v>
      </c>
      <c r="BR58" s="51">
        <f t="shared" si="44"/>
        <v>0</v>
      </c>
      <c r="BT58" s="51">
        <f t="shared" si="45"/>
        <v>0</v>
      </c>
      <c r="BU58" s="51">
        <f t="shared" si="46"/>
        <v>0</v>
      </c>
      <c r="BV58" s="51">
        <f t="shared" si="47"/>
        <v>0</v>
      </c>
      <c r="BW58" s="51">
        <f t="shared" si="48"/>
        <v>0</v>
      </c>
      <c r="BX58" s="51">
        <f t="shared" si="49"/>
        <v>0</v>
      </c>
      <c r="BY58" s="51">
        <f t="shared" si="50"/>
        <v>0</v>
      </c>
      <c r="CA58" s="51">
        <f t="shared" si="51"/>
        <v>0</v>
      </c>
      <c r="CB58" s="52">
        <f t="shared" si="27"/>
        <v>0</v>
      </c>
      <c r="CC58" s="3">
        <f t="shared" si="67"/>
        <v>0</v>
      </c>
    </row>
    <row r="59" spans="1:81" ht="12.75">
      <c r="A59" s="6" t="s">
        <v>31</v>
      </c>
      <c r="C59" s="53">
        <f>8110*0+2/2*17655*0+3/3*26002.5*0+4/4*35466.67*0+5/5*42938.34*0+6/6*55021.67*0+7/7*62700*0+8/8*71125*0+9/9*82044.17*0+10/10*90516.67*0+11/11*102337.5*0+12/12*111088.33</f>
        <v>111088.33</v>
      </c>
      <c r="D59" s="33"/>
      <c r="E59" s="33"/>
      <c r="F59" s="33"/>
      <c r="G59" s="33"/>
      <c r="H59" s="33"/>
      <c r="I59" s="33"/>
      <c r="J59" s="33"/>
      <c r="K59" s="52">
        <f>SUM(B59:J59)</f>
        <v>111088.33</v>
      </c>
      <c r="L59" s="14"/>
      <c r="M59" s="14"/>
      <c r="N59" s="14"/>
      <c r="O59" s="14">
        <f>6/6*4840*0+10/10*5680</f>
        <v>5680</v>
      </c>
      <c r="P59" s="14"/>
      <c r="Q59" s="14"/>
      <c r="R59" s="14"/>
      <c r="S59" s="14"/>
      <c r="T59" s="14"/>
      <c r="U59" s="14"/>
      <c r="V59" s="14"/>
      <c r="W59" s="14"/>
      <c r="X59" s="52">
        <f t="shared" si="61"/>
        <v>5680</v>
      </c>
      <c r="Y59" s="3">
        <f t="shared" si="62"/>
        <v>105408.33</v>
      </c>
      <c r="AA59" s="78">
        <f>8110*0+2/2*17655*0+3/3*26002.5*0+4/4*35466.67*0+5/5*42938.34*0+6/6*55021.67*0+7/7*62700*0+8/8*71125*0+9/9*82044.17*0+10/10*90516.67*0+11/11*102337.5</f>
        <v>102337.5</v>
      </c>
      <c r="AB59" s="33"/>
      <c r="AC59" s="33"/>
      <c r="AD59" s="33"/>
      <c r="AE59" s="33"/>
      <c r="AF59" s="33"/>
      <c r="AG59" s="33"/>
      <c r="AH59" s="33"/>
      <c r="AI59" s="52">
        <f t="shared" si="25"/>
        <v>102337.5</v>
      </c>
      <c r="AJ59" s="14"/>
      <c r="AK59" s="14"/>
      <c r="AL59" s="14"/>
      <c r="AM59" s="14">
        <f>6/6*4840*0+10/10*5680</f>
        <v>5680</v>
      </c>
      <c r="AN59" s="14"/>
      <c r="AO59" s="14"/>
      <c r="AP59" s="14"/>
      <c r="AQ59" s="14"/>
      <c r="AR59" s="14"/>
      <c r="AS59" s="14"/>
      <c r="AT59" s="14"/>
      <c r="AU59" s="14"/>
      <c r="AV59" s="52">
        <f t="shared" si="90"/>
        <v>5680</v>
      </c>
      <c r="AW59" s="3">
        <f t="shared" si="66"/>
        <v>96657.5</v>
      </c>
      <c r="AX59" s="51">
        <f t="shared" si="26"/>
        <v>8750.830000000002</v>
      </c>
      <c r="AZ59" s="51">
        <f t="shared" si="33"/>
        <v>0</v>
      </c>
      <c r="BB59" s="51">
        <f t="shared" si="34"/>
        <v>0</v>
      </c>
      <c r="BC59" s="51">
        <f t="shared" si="35"/>
        <v>0</v>
      </c>
      <c r="BD59" s="51">
        <f t="shared" si="36"/>
        <v>0</v>
      </c>
      <c r="BF59" s="51">
        <f t="shared" si="37"/>
        <v>0</v>
      </c>
      <c r="BH59" s="51">
        <f t="shared" si="38"/>
        <v>0</v>
      </c>
      <c r="BI59" s="51">
        <f t="shared" si="39"/>
        <v>0</v>
      </c>
      <c r="BJ59" s="52">
        <f t="shared" si="60"/>
        <v>8750.830000000002</v>
      </c>
      <c r="BK59" s="51">
        <f t="shared" si="40"/>
        <v>0</v>
      </c>
      <c r="BM59" s="51">
        <f t="shared" si="41"/>
        <v>0</v>
      </c>
      <c r="BO59" s="51">
        <f t="shared" si="42"/>
        <v>0</v>
      </c>
      <c r="BP59" s="51">
        <f t="shared" si="43"/>
        <v>0</v>
      </c>
      <c r="BR59" s="51">
        <f t="shared" si="44"/>
        <v>0</v>
      </c>
      <c r="BT59" s="51">
        <f t="shared" si="45"/>
        <v>0</v>
      </c>
      <c r="BU59" s="51">
        <f t="shared" si="46"/>
        <v>0</v>
      </c>
      <c r="BV59" s="51">
        <f t="shared" si="47"/>
        <v>0</v>
      </c>
      <c r="BW59" s="51">
        <f t="shared" si="48"/>
        <v>0</v>
      </c>
      <c r="BX59" s="51">
        <f t="shared" si="49"/>
        <v>0</v>
      </c>
      <c r="BY59" s="51">
        <f t="shared" si="50"/>
        <v>0</v>
      </c>
      <c r="CA59" s="51">
        <f t="shared" si="51"/>
        <v>0</v>
      </c>
      <c r="CB59" s="52">
        <f t="shared" si="27"/>
        <v>0</v>
      </c>
      <c r="CC59" s="3">
        <f t="shared" si="67"/>
        <v>8750.830000000002</v>
      </c>
    </row>
    <row r="60" spans="1:81" ht="12.75">
      <c r="A60" s="39" t="s">
        <v>61</v>
      </c>
      <c r="C60" s="32">
        <f>6/6*3000*3+7/7*-3000*2344/2344</f>
        <v>6000</v>
      </c>
      <c r="D60" s="33"/>
      <c r="E60" s="33"/>
      <c r="F60" s="33"/>
      <c r="G60" s="33"/>
      <c r="H60" s="33"/>
      <c r="I60" s="33"/>
      <c r="J60" s="33"/>
      <c r="K60" s="52">
        <f>SUM(B60:J60)</f>
        <v>6000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2">
        <f t="shared" si="61"/>
        <v>0</v>
      </c>
      <c r="Y60" s="3">
        <f t="shared" si="62"/>
        <v>6000</v>
      </c>
      <c r="AA60" s="32">
        <f>6/6*3000*3+7/7*-3000*2344/2344</f>
        <v>6000</v>
      </c>
      <c r="AB60" s="33"/>
      <c r="AC60" s="33"/>
      <c r="AD60" s="33"/>
      <c r="AE60" s="33"/>
      <c r="AF60" s="33"/>
      <c r="AG60" s="33"/>
      <c r="AH60" s="33"/>
      <c r="AI60" s="52">
        <f t="shared" si="25"/>
        <v>6000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2">
        <f t="shared" si="90"/>
        <v>0</v>
      </c>
      <c r="AW60" s="3">
        <f t="shared" si="66"/>
        <v>6000</v>
      </c>
      <c r="AX60" s="51">
        <f t="shared" si="26"/>
        <v>0</v>
      </c>
      <c r="AZ60" s="51">
        <f t="shared" si="33"/>
        <v>0</v>
      </c>
      <c r="BB60" s="51">
        <f t="shared" si="34"/>
        <v>0</v>
      </c>
      <c r="BC60" s="51">
        <f t="shared" si="35"/>
        <v>0</v>
      </c>
      <c r="BD60" s="51">
        <f t="shared" si="36"/>
        <v>0</v>
      </c>
      <c r="BF60" s="51">
        <f t="shared" si="37"/>
        <v>0</v>
      </c>
      <c r="BH60" s="51">
        <f t="shared" si="38"/>
        <v>0</v>
      </c>
      <c r="BI60" s="51">
        <f t="shared" si="39"/>
        <v>0</v>
      </c>
      <c r="BJ60" s="52">
        <f t="shared" si="60"/>
        <v>0</v>
      </c>
      <c r="BK60" s="51">
        <f t="shared" si="40"/>
        <v>0</v>
      </c>
      <c r="BM60" s="51">
        <f t="shared" si="41"/>
        <v>0</v>
      </c>
      <c r="BO60" s="51">
        <f t="shared" si="42"/>
        <v>0</v>
      </c>
      <c r="BP60" s="51">
        <f t="shared" si="43"/>
        <v>0</v>
      </c>
      <c r="BR60" s="51">
        <f t="shared" si="44"/>
        <v>0</v>
      </c>
      <c r="BT60" s="51">
        <f t="shared" si="45"/>
        <v>0</v>
      </c>
      <c r="BU60" s="51">
        <f t="shared" si="46"/>
        <v>0</v>
      </c>
      <c r="BV60" s="51">
        <f t="shared" si="47"/>
        <v>0</v>
      </c>
      <c r="BW60" s="51">
        <f t="shared" si="48"/>
        <v>0</v>
      </c>
      <c r="BX60" s="51">
        <f t="shared" si="49"/>
        <v>0</v>
      </c>
      <c r="BY60" s="51">
        <f t="shared" si="50"/>
        <v>0</v>
      </c>
      <c r="CA60" s="51">
        <f t="shared" si="51"/>
        <v>0</v>
      </c>
      <c r="CB60" s="52">
        <f t="shared" si="27"/>
        <v>0</v>
      </c>
      <c r="CC60" s="3">
        <f t="shared" si="67"/>
        <v>0</v>
      </c>
    </row>
    <row r="61" spans="1:81" ht="22.5" customHeight="1">
      <c r="A61" s="39" t="s">
        <v>77</v>
      </c>
      <c r="C61" s="32"/>
      <c r="D61" s="33"/>
      <c r="E61" s="33"/>
      <c r="F61" s="33"/>
      <c r="G61" s="33"/>
      <c r="H61" s="33"/>
      <c r="I61" s="33">
        <f>6/6*646/646*10000+5512/5512*239010/239010*30000</f>
        <v>40000</v>
      </c>
      <c r="J61" s="33"/>
      <c r="K61" s="52">
        <f>SUM(B61:J61)</f>
        <v>40000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>
        <f>239010/239010*9/9*206147+11/11*233410/233410*150000</f>
        <v>356147</v>
      </c>
      <c r="X61" s="52">
        <f t="shared" si="61"/>
        <v>356147</v>
      </c>
      <c r="Y61" s="3">
        <f t="shared" si="62"/>
        <v>-316147</v>
      </c>
      <c r="AA61" s="32"/>
      <c r="AB61" s="33"/>
      <c r="AC61" s="33"/>
      <c r="AD61" s="33"/>
      <c r="AE61" s="33"/>
      <c r="AF61" s="33"/>
      <c r="AG61" s="33">
        <f>6/6*646/646*10000+5512/5512*239010/239010*30000</f>
        <v>40000</v>
      </c>
      <c r="AH61" s="33"/>
      <c r="AI61" s="52">
        <f t="shared" si="25"/>
        <v>40000</v>
      </c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>
        <f>239010/239010*9/9*206147+11/11*233410/233410*150000</f>
        <v>356147</v>
      </c>
      <c r="AV61" s="52">
        <f t="shared" si="90"/>
        <v>356147</v>
      </c>
      <c r="AW61" s="3">
        <f t="shared" si="66"/>
        <v>-316147</v>
      </c>
      <c r="AX61" s="51">
        <f t="shared" si="26"/>
        <v>0</v>
      </c>
      <c r="AZ61" s="51">
        <f t="shared" si="33"/>
        <v>0</v>
      </c>
      <c r="BB61" s="51">
        <f t="shared" si="34"/>
        <v>0</v>
      </c>
      <c r="BC61" s="51">
        <f t="shared" si="35"/>
        <v>0</v>
      </c>
      <c r="BD61" s="51">
        <f t="shared" si="36"/>
        <v>0</v>
      </c>
      <c r="BF61" s="51">
        <f t="shared" si="37"/>
        <v>0</v>
      </c>
      <c r="BH61" s="51">
        <f t="shared" si="38"/>
        <v>0</v>
      </c>
      <c r="BI61" s="51">
        <f t="shared" si="39"/>
        <v>0</v>
      </c>
      <c r="BJ61" s="52">
        <f t="shared" si="60"/>
        <v>0</v>
      </c>
      <c r="BK61" s="51">
        <f t="shared" si="40"/>
        <v>0</v>
      </c>
      <c r="BM61" s="51">
        <f t="shared" si="41"/>
        <v>0</v>
      </c>
      <c r="BO61" s="51">
        <f t="shared" si="42"/>
        <v>0</v>
      </c>
      <c r="BP61" s="51">
        <f t="shared" si="43"/>
        <v>0</v>
      </c>
      <c r="BR61" s="51">
        <f t="shared" si="44"/>
        <v>0</v>
      </c>
      <c r="BT61" s="51">
        <f t="shared" si="45"/>
        <v>0</v>
      </c>
      <c r="BU61" s="51">
        <f t="shared" si="46"/>
        <v>0</v>
      </c>
      <c r="BV61" s="51">
        <f t="shared" si="47"/>
        <v>0</v>
      </c>
      <c r="BW61" s="51">
        <f t="shared" si="48"/>
        <v>0</v>
      </c>
      <c r="BX61" s="51">
        <f t="shared" si="49"/>
        <v>0</v>
      </c>
      <c r="BY61" s="51">
        <f t="shared" si="50"/>
        <v>0</v>
      </c>
      <c r="CA61" s="51">
        <f t="shared" si="51"/>
        <v>0</v>
      </c>
      <c r="CB61" s="52">
        <f t="shared" si="27"/>
        <v>0</v>
      </c>
      <c r="CC61" s="3">
        <f t="shared" si="67"/>
        <v>0</v>
      </c>
    </row>
    <row r="62" spans="1:81" ht="12" customHeight="1">
      <c r="A62" s="45" t="s">
        <v>54</v>
      </c>
      <c r="C62" s="14"/>
      <c r="D62" s="14"/>
      <c r="E62" s="14"/>
      <c r="F62" s="14"/>
      <c r="G62" s="14"/>
      <c r="H62" s="14"/>
      <c r="I62" s="14">
        <f>647/647*2566000</f>
        <v>2566000</v>
      </c>
      <c r="J62" s="14"/>
      <c r="K62" s="52">
        <f t="shared" si="28"/>
        <v>2566000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>
        <f>3/3*887865</f>
        <v>887865</v>
      </c>
      <c r="X62" s="52">
        <f t="shared" si="61"/>
        <v>887865</v>
      </c>
      <c r="Y62" s="3">
        <f t="shared" si="62"/>
        <v>1678135</v>
      </c>
      <c r="AA62" s="14"/>
      <c r="AB62" s="14"/>
      <c r="AC62" s="14"/>
      <c r="AD62" s="14"/>
      <c r="AE62" s="14"/>
      <c r="AF62" s="14"/>
      <c r="AG62" s="14">
        <f>647/647*2566000</f>
        <v>2566000</v>
      </c>
      <c r="AH62" s="14"/>
      <c r="AI62" s="52">
        <f t="shared" si="25"/>
        <v>2566000</v>
      </c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>
        <f>3/3*887865</f>
        <v>887865</v>
      </c>
      <c r="AV62" s="52">
        <f t="shared" si="90"/>
        <v>887865</v>
      </c>
      <c r="AW62" s="3">
        <f t="shared" si="66"/>
        <v>1678135</v>
      </c>
      <c r="AX62" s="51">
        <f t="shared" si="26"/>
        <v>0</v>
      </c>
      <c r="AZ62" s="51">
        <f t="shared" si="33"/>
        <v>0</v>
      </c>
      <c r="BB62" s="51">
        <f t="shared" si="34"/>
        <v>0</v>
      </c>
      <c r="BC62" s="51">
        <f t="shared" si="35"/>
        <v>0</v>
      </c>
      <c r="BD62" s="51">
        <f t="shared" si="36"/>
        <v>0</v>
      </c>
      <c r="BF62" s="51">
        <f t="shared" si="37"/>
        <v>0</v>
      </c>
      <c r="BH62" s="51">
        <f t="shared" si="38"/>
        <v>0</v>
      </c>
      <c r="BI62" s="51">
        <f t="shared" si="39"/>
        <v>0</v>
      </c>
      <c r="BJ62" s="52">
        <f t="shared" si="60"/>
        <v>0</v>
      </c>
      <c r="BK62" s="51">
        <f t="shared" si="40"/>
        <v>0</v>
      </c>
      <c r="BM62" s="51">
        <f t="shared" si="41"/>
        <v>0</v>
      </c>
      <c r="BO62" s="51">
        <f t="shared" si="42"/>
        <v>0</v>
      </c>
      <c r="BP62" s="51">
        <f t="shared" si="43"/>
        <v>0</v>
      </c>
      <c r="BR62" s="51">
        <f t="shared" si="44"/>
        <v>0</v>
      </c>
      <c r="BT62" s="51">
        <f t="shared" si="45"/>
        <v>0</v>
      </c>
      <c r="BU62" s="51">
        <f t="shared" si="46"/>
        <v>0</v>
      </c>
      <c r="BV62" s="51">
        <f t="shared" si="47"/>
        <v>0</v>
      </c>
      <c r="BW62" s="51">
        <f t="shared" si="48"/>
        <v>0</v>
      </c>
      <c r="BX62" s="51">
        <f t="shared" si="49"/>
        <v>0</v>
      </c>
      <c r="BY62" s="51">
        <f t="shared" si="50"/>
        <v>0</v>
      </c>
      <c r="CA62" s="51">
        <f t="shared" si="51"/>
        <v>0</v>
      </c>
      <c r="CB62" s="52">
        <f t="shared" si="27"/>
        <v>0</v>
      </c>
      <c r="CC62" s="3">
        <f t="shared" si="67"/>
        <v>0</v>
      </c>
    </row>
    <row r="63" spans="3:81" ht="12.75" customHeight="1" hidden="1">
      <c r="C63" s="14"/>
      <c r="D63" s="14"/>
      <c r="E63" s="14"/>
      <c r="F63" s="14"/>
      <c r="G63" s="14"/>
      <c r="H63" s="14"/>
      <c r="I63" s="14"/>
      <c r="J63" s="14"/>
      <c r="K63" s="2">
        <f t="shared" si="28"/>
        <v>0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2">
        <f aca="true" t="shared" si="91" ref="X63:X72">SUM(L63:W63)</f>
        <v>0</v>
      </c>
      <c r="Y63" s="3">
        <f t="shared" si="62"/>
        <v>0</v>
      </c>
      <c r="AA63" s="14"/>
      <c r="AB63" s="14"/>
      <c r="AC63" s="14"/>
      <c r="AD63" s="14"/>
      <c r="AE63" s="14"/>
      <c r="AF63" s="14"/>
      <c r="AG63" s="14"/>
      <c r="AH63" s="14"/>
      <c r="AI63" s="52">
        <f t="shared" si="25"/>
        <v>0</v>
      </c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2">
        <f t="shared" si="90"/>
        <v>0</v>
      </c>
      <c r="AW63" s="3">
        <f t="shared" si="66"/>
        <v>0</v>
      </c>
      <c r="AX63" s="51">
        <f t="shared" si="26"/>
        <v>0</v>
      </c>
      <c r="AZ63" s="51">
        <f t="shared" si="33"/>
        <v>0</v>
      </c>
      <c r="BB63" s="51">
        <f t="shared" si="34"/>
        <v>0</v>
      </c>
      <c r="BC63" s="51">
        <f t="shared" si="35"/>
        <v>0</v>
      </c>
      <c r="BD63" s="51">
        <f t="shared" si="36"/>
        <v>0</v>
      </c>
      <c r="BF63" s="51">
        <f t="shared" si="37"/>
        <v>0</v>
      </c>
      <c r="BH63" s="51">
        <f t="shared" si="38"/>
        <v>0</v>
      </c>
      <c r="BI63" s="51">
        <f t="shared" si="39"/>
        <v>0</v>
      </c>
      <c r="BJ63" s="52">
        <f t="shared" si="60"/>
        <v>0</v>
      </c>
      <c r="BK63" s="51">
        <f t="shared" si="40"/>
        <v>0</v>
      </c>
      <c r="BM63" s="51">
        <f t="shared" si="41"/>
        <v>0</v>
      </c>
      <c r="BO63" s="51">
        <f t="shared" si="42"/>
        <v>0</v>
      </c>
      <c r="BP63" s="51">
        <f t="shared" si="43"/>
        <v>0</v>
      </c>
      <c r="BR63" s="51">
        <f t="shared" si="44"/>
        <v>0</v>
      </c>
      <c r="BT63" s="51">
        <f t="shared" si="45"/>
        <v>0</v>
      </c>
      <c r="BU63" s="51">
        <f t="shared" si="46"/>
        <v>0</v>
      </c>
      <c r="BV63" s="51">
        <f t="shared" si="47"/>
        <v>0</v>
      </c>
      <c r="BW63" s="51">
        <f t="shared" si="48"/>
        <v>0</v>
      </c>
      <c r="BX63" s="51">
        <f t="shared" si="49"/>
        <v>0</v>
      </c>
      <c r="BY63" s="51">
        <f t="shared" si="50"/>
        <v>0</v>
      </c>
      <c r="CA63" s="51">
        <f t="shared" si="51"/>
        <v>0</v>
      </c>
      <c r="CB63" s="52">
        <f t="shared" si="27"/>
        <v>0</v>
      </c>
      <c r="CC63" s="3">
        <f t="shared" si="67"/>
        <v>0</v>
      </c>
    </row>
    <row r="64" spans="3:81" ht="12.75" customHeight="1" hidden="1">
      <c r="C64" s="14"/>
      <c r="D64" s="14"/>
      <c r="E64" s="14"/>
      <c r="F64" s="14"/>
      <c r="G64" s="14"/>
      <c r="H64" s="14"/>
      <c r="I64" s="14"/>
      <c r="J64" s="14"/>
      <c r="K64" s="2">
        <f t="shared" si="28"/>
        <v>0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2">
        <f t="shared" si="91"/>
        <v>0</v>
      </c>
      <c r="Y64" s="3">
        <f t="shared" si="62"/>
        <v>0</v>
      </c>
      <c r="AA64" s="14"/>
      <c r="AB64" s="14"/>
      <c r="AC64" s="14"/>
      <c r="AD64" s="14"/>
      <c r="AE64" s="14"/>
      <c r="AF64" s="14"/>
      <c r="AG64" s="14"/>
      <c r="AH64" s="14"/>
      <c r="AI64" s="52">
        <f t="shared" si="25"/>
        <v>0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2">
        <f t="shared" si="90"/>
        <v>0</v>
      </c>
      <c r="AW64" s="3">
        <f t="shared" si="66"/>
        <v>0</v>
      </c>
      <c r="AX64" s="51">
        <f t="shared" si="26"/>
        <v>0</v>
      </c>
      <c r="AZ64" s="51">
        <f t="shared" si="33"/>
        <v>0</v>
      </c>
      <c r="BB64" s="51">
        <f t="shared" si="34"/>
        <v>0</v>
      </c>
      <c r="BC64" s="51">
        <f t="shared" si="35"/>
        <v>0</v>
      </c>
      <c r="BD64" s="51">
        <f t="shared" si="36"/>
        <v>0</v>
      </c>
      <c r="BF64" s="51">
        <f t="shared" si="37"/>
        <v>0</v>
      </c>
      <c r="BH64" s="51">
        <f t="shared" si="38"/>
        <v>0</v>
      </c>
      <c r="BI64" s="51">
        <f t="shared" si="39"/>
        <v>0</v>
      </c>
      <c r="BJ64" s="52">
        <f t="shared" si="60"/>
        <v>0</v>
      </c>
      <c r="BK64" s="51">
        <f t="shared" si="40"/>
        <v>0</v>
      </c>
      <c r="BM64" s="51">
        <f t="shared" si="41"/>
        <v>0</v>
      </c>
      <c r="BO64" s="51">
        <f t="shared" si="42"/>
        <v>0</v>
      </c>
      <c r="BP64" s="51">
        <f t="shared" si="43"/>
        <v>0</v>
      </c>
      <c r="BR64" s="51">
        <f t="shared" si="44"/>
        <v>0</v>
      </c>
      <c r="BT64" s="51">
        <f t="shared" si="45"/>
        <v>0</v>
      </c>
      <c r="BU64" s="51">
        <f t="shared" si="46"/>
        <v>0</v>
      </c>
      <c r="BV64" s="51">
        <f t="shared" si="47"/>
        <v>0</v>
      </c>
      <c r="BW64" s="51">
        <f t="shared" si="48"/>
        <v>0</v>
      </c>
      <c r="BX64" s="51">
        <f t="shared" si="49"/>
        <v>0</v>
      </c>
      <c r="BY64" s="51">
        <f t="shared" si="50"/>
        <v>0</v>
      </c>
      <c r="CA64" s="51">
        <f t="shared" si="51"/>
        <v>0</v>
      </c>
      <c r="CB64" s="52">
        <f t="shared" si="27"/>
        <v>0</v>
      </c>
      <c r="CC64" s="3">
        <f t="shared" si="67"/>
        <v>0</v>
      </c>
    </row>
    <row r="65" spans="3:81" ht="12.75" customHeight="1" hidden="1">
      <c r="C65" s="14"/>
      <c r="D65" s="14"/>
      <c r="E65" s="14"/>
      <c r="F65" s="14"/>
      <c r="G65" s="14"/>
      <c r="H65" s="14"/>
      <c r="I65" s="14"/>
      <c r="J65" s="14"/>
      <c r="K65" s="2">
        <f t="shared" si="28"/>
        <v>0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2">
        <f t="shared" si="91"/>
        <v>0</v>
      </c>
      <c r="Y65" s="3">
        <f t="shared" si="62"/>
        <v>0</v>
      </c>
      <c r="AA65" s="14"/>
      <c r="AB65" s="14"/>
      <c r="AC65" s="14"/>
      <c r="AD65" s="14"/>
      <c r="AE65" s="14"/>
      <c r="AF65" s="14"/>
      <c r="AG65" s="14"/>
      <c r="AH65" s="14"/>
      <c r="AI65" s="52">
        <f t="shared" si="25"/>
        <v>0</v>
      </c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2">
        <f t="shared" si="90"/>
        <v>0</v>
      </c>
      <c r="AW65" s="3">
        <f t="shared" si="66"/>
        <v>0</v>
      </c>
      <c r="AX65" s="51">
        <f t="shared" si="26"/>
        <v>0</v>
      </c>
      <c r="AZ65" s="51">
        <f t="shared" si="33"/>
        <v>0</v>
      </c>
      <c r="BB65" s="51">
        <f t="shared" si="34"/>
        <v>0</v>
      </c>
      <c r="BC65" s="51">
        <f t="shared" si="35"/>
        <v>0</v>
      </c>
      <c r="BD65" s="51">
        <f t="shared" si="36"/>
        <v>0</v>
      </c>
      <c r="BF65" s="51">
        <f t="shared" si="37"/>
        <v>0</v>
      </c>
      <c r="BH65" s="51">
        <f t="shared" si="38"/>
        <v>0</v>
      </c>
      <c r="BI65" s="51">
        <f t="shared" si="39"/>
        <v>0</v>
      </c>
      <c r="BJ65" s="52">
        <f t="shared" si="60"/>
        <v>0</v>
      </c>
      <c r="BK65" s="51">
        <f t="shared" si="40"/>
        <v>0</v>
      </c>
      <c r="BM65" s="51">
        <f t="shared" si="41"/>
        <v>0</v>
      </c>
      <c r="BO65" s="51">
        <f t="shared" si="42"/>
        <v>0</v>
      </c>
      <c r="BP65" s="51">
        <f t="shared" si="43"/>
        <v>0</v>
      </c>
      <c r="BR65" s="51">
        <f t="shared" si="44"/>
        <v>0</v>
      </c>
      <c r="BT65" s="51">
        <f t="shared" si="45"/>
        <v>0</v>
      </c>
      <c r="BU65" s="51">
        <f t="shared" si="46"/>
        <v>0</v>
      </c>
      <c r="BV65" s="51">
        <f t="shared" si="47"/>
        <v>0</v>
      </c>
      <c r="BW65" s="51">
        <f t="shared" si="48"/>
        <v>0</v>
      </c>
      <c r="BX65" s="51">
        <f t="shared" si="49"/>
        <v>0</v>
      </c>
      <c r="BY65" s="51">
        <f t="shared" si="50"/>
        <v>0</v>
      </c>
      <c r="CA65" s="51">
        <f t="shared" si="51"/>
        <v>0</v>
      </c>
      <c r="CB65" s="52">
        <f t="shared" si="27"/>
        <v>0</v>
      </c>
      <c r="CC65" s="3">
        <f t="shared" si="67"/>
        <v>0</v>
      </c>
    </row>
    <row r="66" spans="3:81" ht="12.75" customHeight="1" hidden="1">
      <c r="C66" s="14"/>
      <c r="D66" s="14"/>
      <c r="E66" s="14"/>
      <c r="F66" s="14"/>
      <c r="G66" s="14"/>
      <c r="H66" s="14"/>
      <c r="I66" s="14"/>
      <c r="J66" s="14"/>
      <c r="K66" s="2">
        <f t="shared" si="28"/>
        <v>0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2">
        <f t="shared" si="91"/>
        <v>0</v>
      </c>
      <c r="Y66" s="3">
        <f t="shared" si="62"/>
        <v>0</v>
      </c>
      <c r="AA66" s="14"/>
      <c r="AB66" s="14"/>
      <c r="AC66" s="14"/>
      <c r="AD66" s="14"/>
      <c r="AE66" s="14"/>
      <c r="AF66" s="14"/>
      <c r="AG66" s="14"/>
      <c r="AH66" s="14"/>
      <c r="AI66" s="52">
        <f t="shared" si="25"/>
        <v>0</v>
      </c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2">
        <f t="shared" si="90"/>
        <v>0</v>
      </c>
      <c r="AW66" s="3">
        <f t="shared" si="66"/>
        <v>0</v>
      </c>
      <c r="AX66" s="51">
        <f t="shared" si="26"/>
        <v>0</v>
      </c>
      <c r="AZ66" s="51">
        <f t="shared" si="33"/>
        <v>0</v>
      </c>
      <c r="BB66" s="51">
        <f t="shared" si="34"/>
        <v>0</v>
      </c>
      <c r="BC66" s="51">
        <f t="shared" si="35"/>
        <v>0</v>
      </c>
      <c r="BD66" s="51">
        <f t="shared" si="36"/>
        <v>0</v>
      </c>
      <c r="BF66" s="51">
        <f t="shared" si="37"/>
        <v>0</v>
      </c>
      <c r="BH66" s="51">
        <f t="shared" si="38"/>
        <v>0</v>
      </c>
      <c r="BI66" s="51">
        <f t="shared" si="39"/>
        <v>0</v>
      </c>
      <c r="BJ66" s="52">
        <f t="shared" si="60"/>
        <v>0</v>
      </c>
      <c r="BK66" s="51">
        <f t="shared" si="40"/>
        <v>0</v>
      </c>
      <c r="BM66" s="51">
        <f t="shared" si="41"/>
        <v>0</v>
      </c>
      <c r="BO66" s="51">
        <f t="shared" si="42"/>
        <v>0</v>
      </c>
      <c r="BP66" s="51">
        <f t="shared" si="43"/>
        <v>0</v>
      </c>
      <c r="BR66" s="51">
        <f t="shared" si="44"/>
        <v>0</v>
      </c>
      <c r="BT66" s="51">
        <f t="shared" si="45"/>
        <v>0</v>
      </c>
      <c r="BU66" s="51">
        <f t="shared" si="46"/>
        <v>0</v>
      </c>
      <c r="BV66" s="51">
        <f t="shared" si="47"/>
        <v>0</v>
      </c>
      <c r="BW66" s="51">
        <f t="shared" si="48"/>
        <v>0</v>
      </c>
      <c r="BX66" s="51">
        <f t="shared" si="49"/>
        <v>0</v>
      </c>
      <c r="BY66" s="51">
        <f t="shared" si="50"/>
        <v>0</v>
      </c>
      <c r="CA66" s="51">
        <f t="shared" si="51"/>
        <v>0</v>
      </c>
      <c r="CB66" s="52">
        <f t="shared" si="27"/>
        <v>0</v>
      </c>
      <c r="CC66" s="3">
        <f t="shared" si="67"/>
        <v>0</v>
      </c>
    </row>
    <row r="67" spans="3:81" ht="12.75" customHeight="1" hidden="1">
      <c r="C67" s="14"/>
      <c r="D67" s="14"/>
      <c r="E67" s="14"/>
      <c r="F67" s="14"/>
      <c r="G67" s="14"/>
      <c r="H67" s="14"/>
      <c r="I67" s="14"/>
      <c r="J67" s="14"/>
      <c r="K67" s="2">
        <f t="shared" si="28"/>
        <v>0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2">
        <f t="shared" si="91"/>
        <v>0</v>
      </c>
      <c r="Y67" s="3">
        <f t="shared" si="62"/>
        <v>0</v>
      </c>
      <c r="AA67" s="14"/>
      <c r="AB67" s="14"/>
      <c r="AC67" s="14"/>
      <c r="AD67" s="14"/>
      <c r="AE67" s="14"/>
      <c r="AF67" s="14"/>
      <c r="AG67" s="14"/>
      <c r="AH67" s="14"/>
      <c r="AI67" s="52">
        <f t="shared" si="25"/>
        <v>0</v>
      </c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2">
        <f t="shared" si="90"/>
        <v>0</v>
      </c>
      <c r="AW67" s="3">
        <f t="shared" si="66"/>
        <v>0</v>
      </c>
      <c r="AX67" s="51">
        <f t="shared" si="26"/>
        <v>0</v>
      </c>
      <c r="AZ67" s="51">
        <f t="shared" si="33"/>
        <v>0</v>
      </c>
      <c r="BB67" s="51">
        <f t="shared" si="34"/>
        <v>0</v>
      </c>
      <c r="BC67" s="51">
        <f t="shared" si="35"/>
        <v>0</v>
      </c>
      <c r="BD67" s="51">
        <f t="shared" si="36"/>
        <v>0</v>
      </c>
      <c r="BF67" s="51">
        <f t="shared" si="37"/>
        <v>0</v>
      </c>
      <c r="BH67" s="51">
        <f t="shared" si="38"/>
        <v>0</v>
      </c>
      <c r="BI67" s="51">
        <f t="shared" si="39"/>
        <v>0</v>
      </c>
      <c r="BJ67" s="52">
        <f t="shared" si="60"/>
        <v>0</v>
      </c>
      <c r="BK67" s="51">
        <f t="shared" si="40"/>
        <v>0</v>
      </c>
      <c r="BM67" s="51">
        <f t="shared" si="41"/>
        <v>0</v>
      </c>
      <c r="BO67" s="51">
        <f t="shared" si="42"/>
        <v>0</v>
      </c>
      <c r="BP67" s="51">
        <f t="shared" si="43"/>
        <v>0</v>
      </c>
      <c r="BR67" s="51">
        <f t="shared" si="44"/>
        <v>0</v>
      </c>
      <c r="BT67" s="51">
        <f t="shared" si="45"/>
        <v>0</v>
      </c>
      <c r="BU67" s="51">
        <f t="shared" si="46"/>
        <v>0</v>
      </c>
      <c r="BV67" s="51">
        <f t="shared" si="47"/>
        <v>0</v>
      </c>
      <c r="BW67" s="51">
        <f t="shared" si="48"/>
        <v>0</v>
      </c>
      <c r="BX67" s="51">
        <f t="shared" si="49"/>
        <v>0</v>
      </c>
      <c r="BY67" s="51">
        <f t="shared" si="50"/>
        <v>0</v>
      </c>
      <c r="CA67" s="51">
        <f t="shared" si="51"/>
        <v>0</v>
      </c>
      <c r="CB67" s="52">
        <f t="shared" si="27"/>
        <v>0</v>
      </c>
      <c r="CC67" s="3">
        <f t="shared" si="67"/>
        <v>0</v>
      </c>
    </row>
    <row r="68" spans="1:81" ht="12.75">
      <c r="A68" s="37" t="s">
        <v>60</v>
      </c>
      <c r="C68" s="14"/>
      <c r="D68" s="14">
        <f>6/6*1000000</f>
        <v>1000000</v>
      </c>
      <c r="E68" s="14"/>
      <c r="F68" s="14"/>
      <c r="G68" s="14"/>
      <c r="H68" s="14"/>
      <c r="I68" s="14"/>
      <c r="J68" s="14"/>
      <c r="K68" s="52">
        <f t="shared" si="28"/>
        <v>1000000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2">
        <f t="shared" si="91"/>
        <v>0</v>
      </c>
      <c r="Y68" s="3">
        <f t="shared" si="62"/>
        <v>1000000</v>
      </c>
      <c r="AA68" s="14"/>
      <c r="AB68" s="14">
        <f>6/6*1000000</f>
        <v>1000000</v>
      </c>
      <c r="AC68" s="14"/>
      <c r="AD68" s="14"/>
      <c r="AE68" s="14"/>
      <c r="AF68" s="14"/>
      <c r="AG68" s="14"/>
      <c r="AH68" s="14"/>
      <c r="AI68" s="52">
        <f t="shared" si="25"/>
        <v>1000000</v>
      </c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2">
        <f t="shared" si="90"/>
        <v>0</v>
      </c>
      <c r="AW68" s="3">
        <f t="shared" si="66"/>
        <v>1000000</v>
      </c>
      <c r="AX68" s="51">
        <f t="shared" si="26"/>
        <v>0</v>
      </c>
      <c r="AZ68" s="51">
        <f t="shared" si="33"/>
        <v>0</v>
      </c>
      <c r="BB68" s="51">
        <f t="shared" si="34"/>
        <v>0</v>
      </c>
      <c r="BC68" s="51">
        <f t="shared" si="35"/>
        <v>0</v>
      </c>
      <c r="BD68" s="51">
        <f t="shared" si="36"/>
        <v>0</v>
      </c>
      <c r="BF68" s="51">
        <f t="shared" si="37"/>
        <v>0</v>
      </c>
      <c r="BH68" s="51">
        <f t="shared" si="38"/>
        <v>0</v>
      </c>
      <c r="BI68" s="51">
        <f t="shared" si="39"/>
        <v>0</v>
      </c>
      <c r="BJ68" s="52">
        <f t="shared" si="60"/>
        <v>0</v>
      </c>
      <c r="BK68" s="51">
        <f t="shared" si="40"/>
        <v>0</v>
      </c>
      <c r="BM68" s="51">
        <f t="shared" si="41"/>
        <v>0</v>
      </c>
      <c r="BO68" s="51">
        <f t="shared" si="42"/>
        <v>0</v>
      </c>
      <c r="BP68" s="51">
        <f t="shared" si="43"/>
        <v>0</v>
      </c>
      <c r="BR68" s="51">
        <f t="shared" si="44"/>
        <v>0</v>
      </c>
      <c r="BT68" s="51">
        <f t="shared" si="45"/>
        <v>0</v>
      </c>
      <c r="BU68" s="51">
        <f t="shared" si="46"/>
        <v>0</v>
      </c>
      <c r="BV68" s="51">
        <f t="shared" si="47"/>
        <v>0</v>
      </c>
      <c r="BW68" s="51">
        <f t="shared" si="48"/>
        <v>0</v>
      </c>
      <c r="BX68" s="51">
        <f t="shared" si="49"/>
        <v>0</v>
      </c>
      <c r="BY68" s="51">
        <f t="shared" si="50"/>
        <v>0</v>
      </c>
      <c r="CA68" s="51">
        <f t="shared" si="51"/>
        <v>0</v>
      </c>
      <c r="CB68" s="52">
        <f t="shared" si="27"/>
        <v>0</v>
      </c>
      <c r="CC68" s="3">
        <f t="shared" si="67"/>
        <v>0</v>
      </c>
    </row>
    <row r="69" spans="1:81" ht="12.75">
      <c r="A69" s="70" t="s">
        <v>81</v>
      </c>
      <c r="C69" s="51">
        <f>79600/1.2*12/12</f>
        <v>66333.33333333334</v>
      </c>
      <c r="D69" s="14"/>
      <c r="E69" s="14"/>
      <c r="F69" s="14"/>
      <c r="G69" s="14"/>
      <c r="H69" s="51">
        <f>79600/1.2*0*12/12*602/602</f>
        <v>0</v>
      </c>
      <c r="I69" s="14"/>
      <c r="J69" s="14"/>
      <c r="K69" s="52">
        <f t="shared" si="28"/>
        <v>66333.33333333334</v>
      </c>
      <c r="L69" s="14"/>
      <c r="M69" s="14"/>
      <c r="N69" s="14"/>
      <c r="O69" s="14"/>
      <c r="P69" s="14">
        <f>10/10*5280</f>
        <v>5280</v>
      </c>
      <c r="Q69" s="14"/>
      <c r="R69" s="14"/>
      <c r="S69" s="14"/>
      <c r="T69" s="14"/>
      <c r="U69" s="14"/>
      <c r="V69" s="14"/>
      <c r="W69" s="14"/>
      <c r="X69" s="52">
        <f>SUM(L69:W69)</f>
        <v>5280</v>
      </c>
      <c r="Y69" s="3">
        <f>K69-X69</f>
        <v>61053.33333333334</v>
      </c>
      <c r="AA69" s="14"/>
      <c r="AB69" s="14"/>
      <c r="AC69" s="14"/>
      <c r="AD69" s="14"/>
      <c r="AE69" s="14"/>
      <c r="AF69" s="14">
        <f>79600/1.2</f>
        <v>66333.33333333334</v>
      </c>
      <c r="AG69" s="14"/>
      <c r="AH69" s="14"/>
      <c r="AI69" s="52">
        <f>SUM(AA69:AH69)</f>
        <v>66333.33333333334</v>
      </c>
      <c r="AJ69" s="14"/>
      <c r="AK69" s="14"/>
      <c r="AL69" s="14"/>
      <c r="AM69" s="14"/>
      <c r="AN69" s="14">
        <f>10/10*5280</f>
        <v>5280</v>
      </c>
      <c r="AO69" s="14"/>
      <c r="AP69" s="14"/>
      <c r="AQ69" s="14"/>
      <c r="AR69" s="14"/>
      <c r="AS69" s="14"/>
      <c r="AT69" s="14"/>
      <c r="AU69" s="14"/>
      <c r="AV69" s="52">
        <f>SUM(AJ69:AU69)</f>
        <v>5280</v>
      </c>
      <c r="AW69" s="3"/>
      <c r="BJ69" s="52">
        <f t="shared" si="60"/>
        <v>0</v>
      </c>
      <c r="CB69" s="52">
        <f>SUM(BK69,BM69,BO69,BP69,BR69,BT69,BU69,BV69,BY69,CA69)</f>
        <v>0</v>
      </c>
      <c r="CC69" s="3"/>
    </row>
    <row r="70" spans="1:81" ht="12.75">
      <c r="A70" s="70" t="s">
        <v>99</v>
      </c>
      <c r="C70" s="51">
        <f>12/12*47333.3</f>
        <v>47333.3</v>
      </c>
      <c r="D70" s="14"/>
      <c r="E70" s="14"/>
      <c r="F70" s="14"/>
      <c r="G70" s="14"/>
      <c r="H70" s="14"/>
      <c r="I70" s="14"/>
      <c r="J70" s="14"/>
      <c r="K70" s="52">
        <f t="shared" si="28"/>
        <v>47333.3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2"/>
      <c r="Y70" s="3"/>
      <c r="AA70" s="14"/>
      <c r="AB70" s="14"/>
      <c r="AC70" s="14"/>
      <c r="AD70" s="14"/>
      <c r="AE70" s="14"/>
      <c r="AF70" s="14"/>
      <c r="AG70" s="14"/>
      <c r="AH70" s="14"/>
      <c r="AI70" s="52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52"/>
      <c r="AW70" s="3"/>
      <c r="BJ70" s="52"/>
      <c r="CB70" s="52"/>
      <c r="CC70" s="3"/>
    </row>
    <row r="71" spans="1:81" ht="12.75">
      <c r="A71" s="70" t="s">
        <v>100</v>
      </c>
      <c r="C71" s="51">
        <f>12/12*3000</f>
        <v>3000</v>
      </c>
      <c r="D71" s="14"/>
      <c r="E71" s="14"/>
      <c r="F71" s="14"/>
      <c r="G71" s="14"/>
      <c r="H71" s="14"/>
      <c r="I71" s="14"/>
      <c r="J71" s="14"/>
      <c r="K71" s="52">
        <f t="shared" si="28"/>
        <v>3000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2"/>
      <c r="Y71" s="3"/>
      <c r="AA71" s="14"/>
      <c r="AB71" s="14"/>
      <c r="AC71" s="14"/>
      <c r="AD71" s="14"/>
      <c r="AE71" s="14"/>
      <c r="AF71" s="14"/>
      <c r="AG71" s="14"/>
      <c r="AH71" s="14"/>
      <c r="AI71" s="52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52"/>
      <c r="AW71" s="3"/>
      <c r="BJ71" s="52"/>
      <c r="CB71" s="52"/>
      <c r="CC71" s="3"/>
    </row>
    <row r="72" spans="1:81" ht="12.75">
      <c r="A72" s="5" t="s">
        <v>27</v>
      </c>
      <c r="C72" s="51">
        <f>180910/180910*2916.67*12/12*602/602</f>
        <v>2916.67</v>
      </c>
      <c r="D72" s="58">
        <f>7869336.98-6968434.31+2/2*(12106150.97-12006265.14-1000788.5*0)+3/3*(17047930.11-16193035.37-1855683.24)+4/4*(19054997.58-16829728.69)+5/5*(20856726.69-20598061.03)+6/6*(23608426.11-23439943.31)+7/7*(25629113.04-23720249.55*0-25057609.55)+8/8*(27162937.47-27095793.48)+9/9*(29355552.39-28716094.4-649/649*(-1+2916.67+1)-646/646*30000)+10/10*(31549996.36-30975369.04)+11/11*(33172266.68-33055752.68)*0+12/12*(29934901.04-29445505.56*0-29448422.73-133504/133504*602/602*47333.3-246210/246210*3000)</f>
        <v>4908378.479999997</v>
      </c>
      <c r="E72" s="91"/>
      <c r="F72" s="91"/>
      <c r="G72" s="91"/>
      <c r="H72" s="102">
        <f>9/9*(95902/95902*-1.25+180910/180910*2916.67*0*12/12*602/602+187708/187708*1)+12/12*137605/137605*0.5</f>
        <v>0.25</v>
      </c>
      <c r="I72" s="91"/>
      <c r="J72" s="91"/>
      <c r="K72" s="52">
        <f t="shared" si="28"/>
        <v>4911295.399999997</v>
      </c>
      <c r="L72" s="14">
        <f>6/6*1379/1379*2350*0*9/9</f>
        <v>0</v>
      </c>
      <c r="M72" s="14"/>
      <c r="N72" s="14"/>
      <c r="O72" s="14">
        <f>6/6*1379/1379*1500*0*9/9+133504/133504*10100</f>
        <v>10100</v>
      </c>
      <c r="P72" s="14">
        <f>67199/67199*1500+146505/146505*100+4/4*159606/159606*28000</f>
        <v>29600</v>
      </c>
      <c r="Q72" s="14"/>
      <c r="R72" s="14"/>
      <c r="S72" s="14"/>
      <c r="T72" s="14"/>
      <c r="U72" s="14"/>
      <c r="V72" s="51">
        <f>10/10*163006/163006*0.2+12/12*(95902/95902*0.25+181507/181507*0.04)</f>
        <v>0.49</v>
      </c>
      <c r="W72" s="14"/>
      <c r="X72" s="52">
        <f t="shared" si="91"/>
        <v>39700.49</v>
      </c>
      <c r="Y72" s="3">
        <f t="shared" si="62"/>
        <v>4871594.909999996</v>
      </c>
      <c r="AA72" s="14"/>
      <c r="AB72" s="88">
        <f>7869336.98-6968434.31+2/2*(12106150.97-12006265.14-1000788.5*0)+3/3*(17047930.11-16193035.37-1855683.24)+4/4*(19054997.58-16829728.69)+5/5*(20856726.69-20598061.03)+6/6*(23608426.11-23439943.31)+7/7*(25629113.04-23720249.55*0-25057609.55)+8/8*(27162937.47-27095793.48)+9/9*(29355552.39-28716094.4-649/649*(-1+2916.67+1)-646/646*30000)+10/10*(31549996.36-30975369.04)+11/11*(33172266.68-33055752.68)</f>
        <v>4588747.469999998</v>
      </c>
      <c r="AC72" s="71"/>
      <c r="AD72" s="71"/>
      <c r="AE72" s="71"/>
      <c r="AF72" s="71">
        <f>9/9*(95902/95902*-1.25+180910/180910*2916.67+187708/187708*1)</f>
        <v>2916.42</v>
      </c>
      <c r="AG72" s="71"/>
      <c r="AH72" s="71"/>
      <c r="AI72" s="52">
        <f>SUM(AA72:AH72)</f>
        <v>4591663.889999998</v>
      </c>
      <c r="AJ72" s="14">
        <f>6/6*1379/1379*2350*0*9/9</f>
        <v>0</v>
      </c>
      <c r="AK72" s="14"/>
      <c r="AL72" s="14"/>
      <c r="AM72" s="14">
        <f>6/6*1379/1379*1500*0*9/9+133504/133504*10100</f>
        <v>10100</v>
      </c>
      <c r="AN72" s="14">
        <f>67199/67199*1500+146505/146505*100+4/4*159606/159606*28000</f>
        <v>29600</v>
      </c>
      <c r="AO72" s="14"/>
      <c r="AP72" s="14"/>
      <c r="AQ72" s="14"/>
      <c r="AR72" s="14"/>
      <c r="AS72" s="14"/>
      <c r="AT72" s="14">
        <f>10/10*163006/163006*0.2</f>
        <v>0.2</v>
      </c>
      <c r="AU72" s="14"/>
      <c r="AV72" s="52">
        <f>SUM(AJ72:AU72)</f>
        <v>39700.2</v>
      </c>
      <c r="AW72" s="3">
        <f>AI72-AV72</f>
        <v>4551963.689999998</v>
      </c>
      <c r="AX72" s="51">
        <f t="shared" si="26"/>
        <v>2916.67</v>
      </c>
      <c r="AZ72" s="51">
        <f t="shared" si="33"/>
        <v>319631.00999999885</v>
      </c>
      <c r="BB72" s="51">
        <f t="shared" si="34"/>
        <v>0</v>
      </c>
      <c r="BC72" s="51">
        <f t="shared" si="35"/>
        <v>0</v>
      </c>
      <c r="BD72" s="51">
        <f t="shared" si="36"/>
        <v>0</v>
      </c>
      <c r="BF72" s="51">
        <f t="shared" si="37"/>
        <v>-2916.17</v>
      </c>
      <c r="BH72" s="51">
        <f t="shared" si="38"/>
        <v>0</v>
      </c>
      <c r="BI72" s="51">
        <f t="shared" si="39"/>
        <v>0</v>
      </c>
      <c r="BJ72" s="52">
        <f t="shared" si="60"/>
        <v>319631.50999999885</v>
      </c>
      <c r="BK72" s="51">
        <f t="shared" si="40"/>
        <v>0</v>
      </c>
      <c r="BM72" s="51">
        <f t="shared" si="41"/>
        <v>0</v>
      </c>
      <c r="BO72" s="51">
        <f t="shared" si="42"/>
        <v>0</v>
      </c>
      <c r="BP72" s="51">
        <f t="shared" si="43"/>
        <v>0</v>
      </c>
      <c r="BR72" s="51">
        <f t="shared" si="44"/>
        <v>0</v>
      </c>
      <c r="BT72" s="51">
        <f t="shared" si="45"/>
        <v>0</v>
      </c>
      <c r="BU72" s="51">
        <f t="shared" si="46"/>
        <v>0</v>
      </c>
      <c r="BV72" s="51">
        <f t="shared" si="47"/>
        <v>0</v>
      </c>
      <c r="BW72" s="51">
        <f t="shared" si="48"/>
        <v>0</v>
      </c>
      <c r="BX72" s="51">
        <f t="shared" si="49"/>
        <v>0</v>
      </c>
      <c r="BY72" s="51">
        <f t="shared" si="50"/>
        <v>0.29</v>
      </c>
      <c r="CA72" s="51">
        <f t="shared" si="51"/>
        <v>0</v>
      </c>
      <c r="CB72" s="52">
        <f>SUM(BK72,BM72,BO72,BP72,BR72,BT72,BU72,BV72,BY72,CA72)</f>
        <v>0.29</v>
      </c>
      <c r="CC72" s="3">
        <f>BJ72-CB72</f>
        <v>319631.21999999887</v>
      </c>
    </row>
    <row r="73" spans="3:81" ht="12.75">
      <c r="C73" s="16">
        <f aca="true" t="shared" si="92" ref="C73:H73">SUM(C3:C72)</f>
        <v>1641075.2133333336</v>
      </c>
      <c r="D73" s="16">
        <f t="shared" si="92"/>
        <v>22343947.759999998</v>
      </c>
      <c r="E73" s="16">
        <f t="shared" si="92"/>
        <v>12979.099999999999</v>
      </c>
      <c r="F73" s="16">
        <f t="shared" si="92"/>
        <v>53878</v>
      </c>
      <c r="G73" s="16">
        <f t="shared" si="92"/>
        <v>0</v>
      </c>
      <c r="H73" s="16">
        <f t="shared" si="92"/>
        <v>-5035752.82</v>
      </c>
      <c r="I73" s="16">
        <f aca="true" t="shared" si="93" ref="I73:R73">SUM(I3:I72)</f>
        <v>10754579.67</v>
      </c>
      <c r="J73" s="16">
        <f>SUM(J3:J72)</f>
        <v>164194.12</v>
      </c>
      <c r="K73" s="52">
        <f t="shared" si="93"/>
        <v>29934901.04333332</v>
      </c>
      <c r="L73" s="16">
        <f t="shared" si="93"/>
        <v>127589.62</v>
      </c>
      <c r="M73" s="16">
        <f t="shared" si="93"/>
        <v>89753.19</v>
      </c>
      <c r="N73" s="16">
        <f t="shared" si="93"/>
        <v>0</v>
      </c>
      <c r="O73" s="16">
        <f t="shared" si="93"/>
        <v>1292326.09</v>
      </c>
      <c r="P73" s="16">
        <f t="shared" si="93"/>
        <v>953456.4799999999</v>
      </c>
      <c r="Q73" s="2">
        <f t="shared" si="93"/>
        <v>1829644</v>
      </c>
      <c r="R73" s="2">
        <f t="shared" si="93"/>
        <v>618851</v>
      </c>
      <c r="S73" s="2">
        <f aca="true" t="shared" si="94" ref="S73:Z73">SUM(S3:S72)</f>
        <v>251927</v>
      </c>
      <c r="T73" s="2">
        <f t="shared" si="94"/>
        <v>0</v>
      </c>
      <c r="U73" s="2">
        <f t="shared" si="94"/>
        <v>0</v>
      </c>
      <c r="V73" s="16">
        <f t="shared" si="94"/>
        <v>39637.67999999999</v>
      </c>
      <c r="W73" s="16">
        <f t="shared" si="94"/>
        <v>2843547</v>
      </c>
      <c r="X73" s="2">
        <f t="shared" si="94"/>
        <v>8046732.060000001</v>
      </c>
      <c r="Y73" s="10">
        <f>SUM(Y3:Y72)</f>
        <v>21837835.68333333</v>
      </c>
      <c r="Z73" s="20">
        <f t="shared" si="94"/>
        <v>244440</v>
      </c>
      <c r="AA73" s="10">
        <f aca="true" t="shared" si="95" ref="AA73:AX73">SUM(AA3:AA72)</f>
        <v>1328842.46</v>
      </c>
      <c r="AB73" s="16">
        <f t="shared" si="95"/>
        <v>20643513.09</v>
      </c>
      <c r="AC73" s="10">
        <f t="shared" si="95"/>
        <v>9124.56</v>
      </c>
      <c r="AD73" s="10">
        <f t="shared" si="95"/>
        <v>52648</v>
      </c>
      <c r="AE73" s="16">
        <f t="shared" si="95"/>
        <v>0</v>
      </c>
      <c r="AF73" s="10">
        <f t="shared" si="95"/>
        <v>261912.25333333336</v>
      </c>
      <c r="AG73" s="10">
        <f t="shared" si="95"/>
        <v>10754288</v>
      </c>
      <c r="AH73" s="10">
        <f t="shared" si="95"/>
        <v>121938.32</v>
      </c>
      <c r="AI73" s="2">
        <f t="shared" si="95"/>
        <v>33172266.683333326</v>
      </c>
      <c r="AJ73" s="16">
        <f t="shared" si="95"/>
        <v>122879.14</v>
      </c>
      <c r="AK73" s="16">
        <f t="shared" si="95"/>
        <v>67336.52</v>
      </c>
      <c r="AL73" s="16">
        <f t="shared" si="95"/>
        <v>0</v>
      </c>
      <c r="AM73" s="16">
        <f t="shared" si="95"/>
        <v>1213910.94</v>
      </c>
      <c r="AN73" s="16">
        <f t="shared" si="95"/>
        <v>866919.9999999999</v>
      </c>
      <c r="AO73" s="2">
        <f t="shared" si="95"/>
        <v>1366988</v>
      </c>
      <c r="AP73" s="2">
        <f t="shared" si="95"/>
        <v>462356</v>
      </c>
      <c r="AQ73" s="2">
        <f t="shared" si="95"/>
        <v>251927</v>
      </c>
      <c r="AR73" s="2">
        <f t="shared" si="95"/>
        <v>0</v>
      </c>
      <c r="AS73" s="2">
        <f t="shared" si="95"/>
        <v>0</v>
      </c>
      <c r="AT73" s="16">
        <f t="shared" si="95"/>
        <v>34213.16999999999</v>
      </c>
      <c r="AU73" s="16">
        <f t="shared" si="95"/>
        <v>2843547</v>
      </c>
      <c r="AV73" s="2">
        <f t="shared" si="95"/>
        <v>7230077.7700000005</v>
      </c>
      <c r="AW73" s="10">
        <f t="shared" si="95"/>
        <v>25881135.58</v>
      </c>
      <c r="AX73" s="54">
        <f t="shared" si="95"/>
        <v>195566.12000000002</v>
      </c>
      <c r="AY73" s="54"/>
      <c r="AZ73" s="54">
        <f>SUM(AZ3:AZ72)</f>
        <v>1700434.6699999988</v>
      </c>
      <c r="BA73" s="54"/>
      <c r="BB73" s="54">
        <f>SUM(BB3:BB72)</f>
        <v>3854.5399999999995</v>
      </c>
      <c r="BC73" s="54">
        <f>SUM(BC3:BC72)</f>
        <v>1230</v>
      </c>
      <c r="BD73" s="54">
        <f>SUM(BD3:BD72)</f>
        <v>0</v>
      </c>
      <c r="BE73" s="54"/>
      <c r="BF73" s="54">
        <f>SUM(BF3:BF72)</f>
        <v>-5231331.74</v>
      </c>
      <c r="BG73" s="54"/>
      <c r="BH73" s="54">
        <f>SUM(BH3:BH72)</f>
        <v>291.67</v>
      </c>
      <c r="BI73" s="54">
        <f>SUM(BI3:BI72)</f>
        <v>42255.79999999999</v>
      </c>
      <c r="BJ73" s="52">
        <f>SUM(BJ3:BJ72)</f>
        <v>-3287698.9399999995</v>
      </c>
      <c r="BK73" s="54">
        <f>SUM(BK3:BK72)</f>
        <v>4710.48</v>
      </c>
      <c r="BL73" s="61"/>
      <c r="BM73" s="54">
        <f>SUM(BM3:BM72)</f>
        <v>22416.67</v>
      </c>
      <c r="BN73" s="61"/>
      <c r="BO73" s="54">
        <f>SUM(BO3:BO72)</f>
        <v>0</v>
      </c>
      <c r="BP73" s="54">
        <f>SUM(BP3:BP72)</f>
        <v>78415.15</v>
      </c>
      <c r="BQ73" s="61"/>
      <c r="BR73" s="54">
        <f>SUM(BR3:BR72)</f>
        <v>86536.48</v>
      </c>
      <c r="BS73" s="61"/>
      <c r="BT73" s="52">
        <f aca="true" t="shared" si="96" ref="BT73:BY73">SUM(BT3:BT72)</f>
        <v>462656</v>
      </c>
      <c r="BU73" s="52">
        <f t="shared" si="96"/>
        <v>156495</v>
      </c>
      <c r="BV73" s="52">
        <f t="shared" si="96"/>
        <v>0</v>
      </c>
      <c r="BW73" s="52">
        <f t="shared" si="96"/>
        <v>0</v>
      </c>
      <c r="BX73" s="52">
        <f t="shared" si="96"/>
        <v>0</v>
      </c>
      <c r="BY73" s="54">
        <f t="shared" si="96"/>
        <v>5424.509999999999</v>
      </c>
      <c r="BZ73" s="61"/>
      <c r="CA73" s="54">
        <f>SUM(CA3:CA72)</f>
        <v>0</v>
      </c>
      <c r="CB73" s="52">
        <f>SUM(CB3:CB72)</f>
        <v>816654.29</v>
      </c>
      <c r="CC73" s="10">
        <f>SUM(CC3:CC72)</f>
        <v>-4104353.2300000004</v>
      </c>
    </row>
    <row r="74" spans="3:81" ht="12.75">
      <c r="C74" s="59">
        <f>1641075.21-C73</f>
        <v>-0.0033333336468786</v>
      </c>
      <c r="D74" s="59">
        <f>22343947.76-D73</f>
        <v>0</v>
      </c>
      <c r="E74" s="59">
        <f>12979.1-E73</f>
        <v>0</v>
      </c>
      <c r="F74" s="59">
        <f>641/641*7799*0+9/9*11446*0+10/10*35714*0+11/11*52648*0+12/12*53878+642/642*22486*0+9/9*23086*0-F73</f>
        <v>0</v>
      </c>
      <c r="H74" s="59">
        <f>174145.92*0+9/9*190474.54*0+10/10*268966.27*0+261912.25*0+12/12*-5035752.82-H73</f>
        <v>0</v>
      </c>
      <c r="I74" s="59">
        <f>646/646*(8023600*0+9/9*8053600*0+12/12*7127771.67)+647/647*2700688*0+12/12*3626808-I73</f>
        <v>0</v>
      </c>
      <c r="J74" s="59">
        <f>81804.93*0+9/9*121938.32*0+12/12*164194.12-J73</f>
        <v>0</v>
      </c>
      <c r="K74" s="57">
        <f>7869336.98*0+2/2*12106150.97*0+3/3*17047930.11*0+4/4*19054997.58*0+5/5*20856726.69*0+6/6*23608426.11*0+7/7*25629113.04*0+8/8*27162937.47*0+9/9*29355552.39*0+10/10*(31620358.01*0+31549996.36*0)+11/11*(33172266.68-33055752.93*0)*0+12/12*29934901.04-K73</f>
        <v>-0.0033333227038383484</v>
      </c>
      <c r="L74" s="57">
        <f>127589.62-L73</f>
        <v>0</v>
      </c>
      <c r="M74" s="57">
        <f>89753.19-M73</f>
        <v>0</v>
      </c>
      <c r="N74" s="32"/>
      <c r="O74" s="57">
        <f>1292326.09-O73</f>
        <v>0</v>
      </c>
      <c r="P74" s="57">
        <f>953456.48-P73</f>
        <v>0</v>
      </c>
      <c r="Q74" s="57">
        <f>444564*0+905104*0+11/11*1366988*0+12/12*1829644-Q73</f>
        <v>0</v>
      </c>
      <c r="R74" s="57">
        <f>150347*0+306125*0+11/11*462356*0+12/12*618851-R73</f>
        <v>0</v>
      </c>
      <c r="S74" s="57">
        <f>532/532*1446+538/538*(244515*0+244533*0+11/11*250481)-S73</f>
        <v>0</v>
      </c>
      <c r="T74" s="32"/>
      <c r="U74" s="32"/>
      <c r="V74" s="57">
        <f>27260.19*0+549/549*33311.26*0+11/11*(4320.17*0+12/12*4319.18+569/569*13276+16617+12/12*5425.5)-V73</f>
        <v>0</v>
      </c>
      <c r="W74" s="57">
        <f>2487400*0+553/553*1536362*0+11/11*1686362+554/554*1157185-W73</f>
        <v>0</v>
      </c>
      <c r="X74" s="57">
        <f>1163897.35*0+2/2*1945512.49*0+3/3*3160517.48*0+4/4*3872512.3*0+5/5*4315154.71*0+6/6*4478854.2*0+7/7*5166955.19*0+8/8*5376658.28*0+9/9*5709206.19*0+10/10*(6022673.4*0+6022598.4)*0+11/11*7230077.77*0+12/12*8046732.06-X73</f>
        <v>0</v>
      </c>
      <c r="Y74" s="9">
        <f>K73-X73</f>
        <v>21888168.98333332</v>
      </c>
      <c r="AA74" s="89">
        <f>1328842.46-AA73</f>
        <v>0</v>
      </c>
      <c r="AB74" s="89">
        <f>20643513.09-AB73</f>
        <v>0</v>
      </c>
      <c r="AC74" s="89">
        <f>9124.56-AC73</f>
        <v>0</v>
      </c>
      <c r="AD74" s="89">
        <f>641/641*7799*0+9/9*11446*0+10/10*35714*0+11/11*52648+642/642*22486*0+9/9*23086*0-AD73</f>
        <v>0</v>
      </c>
      <c r="AF74" s="89">
        <f>174145.92*0+9/9*190474.54*0+10/10*268966.27*0+261912.25-AF73</f>
        <v>-0.0033333333558402956</v>
      </c>
      <c r="AG74" s="89">
        <f>646/646*(8023600*0+9/9*8053600)+647/647*2700688-AG73</f>
        <v>0</v>
      </c>
      <c r="AH74" s="89">
        <f>81804.93*0+9/9*121938.32-AH73</f>
        <v>0</v>
      </c>
      <c r="AI74" s="72">
        <f>7869336.98*0+2/2*12106150.97*0+3/3*17047930.11*0+4/4*19054997.58*0+5/5*20856726.69*0+6/6*23608426.11*0+7/7*25629113.04*0+8/8*27162937.47*0+9/9*29355552.39*0+10/10*(31620358.01*0+31549996.36*0)+11/11*(33172266.68-33055752.93*0)-AI73</f>
        <v>-0.003333326429128647</v>
      </c>
      <c r="AJ74" s="72">
        <f>122879.14-AJ73</f>
        <v>0</v>
      </c>
      <c r="AK74" s="90">
        <f>67336.52-AK73</f>
        <v>0</v>
      </c>
      <c r="AL74" s="32"/>
      <c r="AM74" s="90">
        <f>1213910.942-AM73</f>
        <v>0.0020000000949949026</v>
      </c>
      <c r="AN74" s="90">
        <f>866920-AN73</f>
        <v>0</v>
      </c>
      <c r="AO74" s="90">
        <f>444564*0+905104*0+11/11*1366988-AO73</f>
        <v>0</v>
      </c>
      <c r="AP74" s="90">
        <f>150347*0+306125*0+11/11*462356-AP73</f>
        <v>0</v>
      </c>
      <c r="AQ74" s="90">
        <f>532/532*1446+538/538*(244515*0+244533*0+11/11*250481)-AQ73</f>
        <v>0</v>
      </c>
      <c r="AR74" s="32"/>
      <c r="AS74" s="32"/>
      <c r="AT74" s="90">
        <f>27260.19*0+549/549*33311.26*0+11/11*(4320.17+569/569*13276+16617)-AT73</f>
        <v>0</v>
      </c>
      <c r="AU74" s="90">
        <f>2487400*0+553/553*1536362*0+11/11*1686362+554/554*1157185-AU73</f>
        <v>0</v>
      </c>
      <c r="AV74" s="72">
        <f>1163897.35*0+2/2*1945512.49*0+3/3*3160517.48*0+4/4*3872512.3*0+5/5*4315154.71*0+6/6*4478854.2*0+7/7*5166955.19*0+8/8*5376658.28*0+9/9*5709206.19*0+10/10*(6022673.4*0+6022598.4)*0+11/11*7230077.77-AV73</f>
        <v>0</v>
      </c>
      <c r="AW74" s="9">
        <f>AI73-AV73</f>
        <v>25942188.913333327</v>
      </c>
      <c r="BJ74" s="38"/>
      <c r="BK74" s="38"/>
      <c r="BL74" s="62"/>
      <c r="BM74" s="38"/>
      <c r="BN74" s="62"/>
      <c r="BP74" s="38"/>
      <c r="BQ74" s="62"/>
      <c r="BR74" s="38"/>
      <c r="BS74" s="62"/>
      <c r="BT74" s="38"/>
      <c r="BU74" s="38"/>
      <c r="BV74" s="38"/>
      <c r="BY74" s="38"/>
      <c r="CA74" s="38"/>
      <c r="CB74" s="38"/>
      <c r="CC74" s="9">
        <f>BJ73-CB73</f>
        <v>-4104353.2299999995</v>
      </c>
    </row>
    <row r="75" spans="11:24" ht="12.75">
      <c r="K75" s="57">
        <f>SUM(C74:J74)</f>
        <v>-0.0033333336468786</v>
      </c>
      <c r="X75" s="57">
        <f>SUM(L74:W74)</f>
        <v>0</v>
      </c>
    </row>
  </sheetData>
  <mergeCells count="6">
    <mergeCell ref="AX1:BJ1"/>
    <mergeCell ref="BK1:CB1"/>
    <mergeCell ref="C1:K1"/>
    <mergeCell ref="L1:X1"/>
    <mergeCell ref="AA1:AI1"/>
    <mergeCell ref="AJ1:AV1"/>
  </mergeCells>
  <printOptions gridLines="1"/>
  <pageMargins left="0.1968503937007874" right="0" top="0.5905511811023623" bottom="0.4724409448818898" header="0.31496062992125984" footer="0.31496062992125984"/>
  <pageSetup horizontalDpi="200" verticalDpi="200" orientation="landscape" paperSize="9" scale="58" r:id="rId1"/>
  <headerFooter alignWithMargins="0">
    <oddHeader>&amp;L&amp;"Arial,tučné kurzíva"&amp;11Ekonomická činnost MČ 1-12/2010&amp;R&amp;"Arial,tučné kurzíva"RMČ 02.02.2011 příl 2b/
</oddHeader>
    <oddFooter>&amp;L&amp;F&amp;R&amp;P</oddFooter>
  </headerFooter>
  <colBreaks count="3" manualBreakCount="3">
    <brk id="11" max="65535" man="1"/>
    <brk id="49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2011-01-27T11:47:08Z</cp:lastPrinted>
  <dcterms:created xsi:type="dcterms:W3CDTF">2010-02-16T05:05:18Z</dcterms:created>
  <dcterms:modified xsi:type="dcterms:W3CDTF">2011-01-27T11:47:45Z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