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760" windowHeight="762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'List1'!$A:$A,'List1'!$1:$3</definedName>
  </definedNames>
  <calcPr fullCalcOnLoad="1"/>
</workbook>
</file>

<file path=xl/sharedStrings.xml><?xml version="1.0" encoding="utf-8"?>
<sst xmlns="http://schemas.openxmlformats.org/spreadsheetml/2006/main" count="313" uniqueCount="270">
  <si>
    <t>R 2009</t>
  </si>
  <si>
    <t>UR 2009</t>
  </si>
  <si>
    <t>předpoklad 12/2009</t>
  </si>
  <si>
    <t>3421 dětská hřiště</t>
  </si>
  <si>
    <t>3745 veř.zeleň</t>
  </si>
  <si>
    <t>3111 mat.škola</t>
  </si>
  <si>
    <t>3141 škol.jídelna</t>
  </si>
  <si>
    <t>3231 zákl.uměl.</t>
  </si>
  <si>
    <t>4351/4 přísp.stravné</t>
  </si>
  <si>
    <t>4319 soc. péče</t>
  </si>
  <si>
    <t>4329 péče o mládež</t>
  </si>
  <si>
    <t>4359 ost.soc</t>
  </si>
  <si>
    <t>4379 péče o seniory</t>
  </si>
  <si>
    <t>3313 kino</t>
  </si>
  <si>
    <t>3314 knihovna</t>
  </si>
  <si>
    <t>3319 kult.střed</t>
  </si>
  <si>
    <t>3319 kult.akce</t>
  </si>
  <si>
    <t>3412 sport.hala</t>
  </si>
  <si>
    <t>5512 dobrov.hasiči</t>
  </si>
  <si>
    <t>3612 dom.správa</t>
  </si>
  <si>
    <t>3612 bytové hosp.</t>
  </si>
  <si>
    <t>3639,3632 techn.sl</t>
  </si>
  <si>
    <t>6112 ZMČ</t>
  </si>
  <si>
    <t>6171 úřad provoz</t>
  </si>
  <si>
    <t>investiční akce</t>
  </si>
  <si>
    <t>kulturní akce</t>
  </si>
  <si>
    <t xml:space="preserve"> =1505*1,05-0,25</t>
  </si>
  <si>
    <t xml:space="preserve"> =1000*1,05</t>
  </si>
  <si>
    <t xml:space="preserve"> =12*121*(12*20)/1000+1,52</t>
  </si>
  <si>
    <t xml:space="preserve"> =2330-1432+1548</t>
  </si>
  <si>
    <t xml:space="preserve"> =(622*1,2+3,6-750)+622-255+493</t>
  </si>
  <si>
    <t xml:space="preserve"> =1828-984+1021</t>
  </si>
  <si>
    <t xml:space="preserve"> =(572*1,2+13,6-700)+572-215+353</t>
  </si>
  <si>
    <t xml:space="preserve"> =12+16</t>
  </si>
  <si>
    <t xml:space="preserve"> =35+60+40+50+150</t>
  </si>
  <si>
    <t xml:space="preserve"> =1000+8000</t>
  </si>
  <si>
    <t xml:space="preserve"> =6000*1,05</t>
  </si>
  <si>
    <t xml:space="preserve"> =18500+9756+20069+16/16*400</t>
  </si>
  <si>
    <t xml:space="preserve"> =((174,28*12+48,64)+130-2270) +2232-2102+(2091+55)</t>
  </si>
  <si>
    <t>V Ý D A J E</t>
  </si>
  <si>
    <t>P Ř Í J M Y</t>
  </si>
  <si>
    <t xml:space="preserve"> =250*1397/1000+0,75</t>
  </si>
  <si>
    <t xml:space="preserve"> =537*1397/1000-0,189</t>
  </si>
  <si>
    <t xml:space="preserve"> =480*1,05-4</t>
  </si>
  <si>
    <t xml:space="preserve"> =250+35+520+13+250+1300</t>
  </si>
  <si>
    <t xml:space="preserve"> =8408*3,728472883</t>
  </si>
  <si>
    <t xml:space="preserve"> =4662+2498+1000</t>
  </si>
  <si>
    <t xml:space="preserve"> =3096*1,05-0,8+500</t>
  </si>
  <si>
    <r>
      <t xml:space="preserve"> =3400-</t>
    </r>
    <r>
      <rPr>
        <strike/>
        <sz val="8"/>
        <rFont val="Arial"/>
        <family val="2"/>
      </rPr>
      <t>500</t>
    </r>
  </si>
  <si>
    <t>2212 silnice</t>
  </si>
  <si>
    <r>
      <t xml:space="preserve"> =500+</t>
    </r>
    <r>
      <rPr>
        <strike/>
        <sz val="8"/>
        <rFont val="Arial"/>
        <family val="2"/>
      </rPr>
      <t>100</t>
    </r>
  </si>
  <si>
    <r>
      <t xml:space="preserve"> =</t>
    </r>
    <r>
      <rPr>
        <strike/>
        <sz val="8"/>
        <rFont val="Arial"/>
        <family val="2"/>
      </rPr>
      <t>500</t>
    </r>
    <r>
      <rPr>
        <sz val="8"/>
        <rFont val="Arial"/>
        <family val="0"/>
      </rPr>
      <t>+100</t>
    </r>
  </si>
  <si>
    <t>Rozpočet 2010</t>
  </si>
  <si>
    <t>3121 gymnazium</t>
  </si>
  <si>
    <t>ŠJ objekt</t>
  </si>
  <si>
    <t>Účelové prostředky poskytnuté státem a HMP:</t>
  </si>
  <si>
    <t>účelové dotace CELKEM</t>
  </si>
  <si>
    <t>MČ vlastní CELKEM</t>
  </si>
  <si>
    <t>MČ P 16 CELKEM</t>
  </si>
  <si>
    <r>
      <t xml:space="preserve"> =</t>
    </r>
    <r>
      <rPr>
        <strike/>
        <sz val="8"/>
        <rFont val="Arial"/>
        <family val="2"/>
      </rPr>
      <t>100</t>
    </r>
    <r>
      <rPr>
        <sz val="8"/>
        <rFont val="Arial"/>
        <family val="0"/>
      </rPr>
      <t>+100</t>
    </r>
  </si>
  <si>
    <t>4351/1 DPS čp. 461</t>
  </si>
  <si>
    <r>
      <t xml:space="preserve"> =100+</t>
    </r>
    <r>
      <rPr>
        <strike/>
        <sz val="8"/>
        <rFont val="Arial"/>
        <family val="2"/>
      </rPr>
      <t>100</t>
    </r>
  </si>
  <si>
    <t>org 2 osvětl.kostela</t>
  </si>
  <si>
    <t>org 16 Noviny P 16</t>
  </si>
  <si>
    <t>6171 objekt 732</t>
  </si>
  <si>
    <r>
      <t xml:space="preserve"> =</t>
    </r>
    <r>
      <rPr>
        <strike/>
        <sz val="8"/>
        <rFont val="Arial"/>
        <family val="2"/>
      </rPr>
      <t>380</t>
    </r>
    <r>
      <rPr>
        <sz val="8"/>
        <rFont val="Arial"/>
        <family val="0"/>
      </rPr>
      <t>+530+</t>
    </r>
    <r>
      <rPr>
        <strike/>
        <sz val="8"/>
        <rFont val="Arial"/>
        <family val="2"/>
      </rPr>
      <t>150</t>
    </r>
  </si>
  <si>
    <r>
      <t xml:space="preserve"> =380+</t>
    </r>
    <r>
      <rPr>
        <strike/>
        <sz val="8"/>
        <rFont val="Arial"/>
        <family val="2"/>
      </rPr>
      <t>530+150</t>
    </r>
  </si>
  <si>
    <r>
      <t xml:space="preserve"> =</t>
    </r>
    <r>
      <rPr>
        <strike/>
        <sz val="8"/>
        <rFont val="Arial"/>
        <family val="2"/>
      </rPr>
      <t>380+530</t>
    </r>
    <r>
      <rPr>
        <sz val="8"/>
        <rFont val="Arial"/>
        <family val="0"/>
      </rPr>
      <t>+150</t>
    </r>
  </si>
  <si>
    <t>4 NZZ 153 kluz</t>
  </si>
  <si>
    <t>org 241209 vánoce</t>
  </si>
  <si>
    <t xml:space="preserve"> =((16/8408*3024/100-257,92)+ ((22683*551,697-145,26)+                                36,145*157974,907-3,001))/1000</t>
  </si>
  <si>
    <t xml:space="preserve"> =2008/*(14000*3/4*110%-11550*0-550)</t>
  </si>
  <si>
    <t>vlastní úpravy MČ</t>
  </si>
  <si>
    <t>upravený rozpočet</t>
  </si>
  <si>
    <t>stát:</t>
  </si>
  <si>
    <t>HMP:</t>
  </si>
  <si>
    <t>xxxx mobiliář RMČ 1188/82/2009</t>
  </si>
  <si>
    <t>3113 zákl.škola + RMČ 1264/88/2010</t>
  </si>
  <si>
    <t>VÝDAJE</t>
  </si>
  <si>
    <t>PŘÍJMY</t>
  </si>
  <si>
    <t>MŠ objekt</t>
  </si>
  <si>
    <t xml:space="preserve">     mzdy samospráva</t>
  </si>
  <si>
    <t xml:space="preserve">     mzdy st.správa</t>
  </si>
  <si>
    <t xml:space="preserve">     mzdy SPOD</t>
  </si>
  <si>
    <t xml:space="preserve">     mzdy soc.péče</t>
  </si>
  <si>
    <t xml:space="preserve">     náklady soc.agendy</t>
  </si>
  <si>
    <t>1517 MMB</t>
  </si>
  <si>
    <t>dat.schr. 011109</t>
  </si>
  <si>
    <t>výsledek:</t>
  </si>
  <si>
    <t>4351/2 NDPS čp 1522</t>
  </si>
  <si>
    <t>1/12 HMP dotace</t>
  </si>
  <si>
    <t xml:space="preserve"> spl půjček SFZ</t>
  </si>
  <si>
    <t>1/12 státní dotace</t>
  </si>
  <si>
    <t>rozdíl</t>
  </si>
  <si>
    <t>legenda čerpání v měsíci</t>
  </si>
  <si>
    <t>R 90,0 přesun na ORJ 02</t>
  </si>
  <si>
    <t>R 90,0 přesun z ORJ 03</t>
  </si>
  <si>
    <t xml:space="preserve"> </t>
  </si>
  <si>
    <r>
      <t xml:space="preserve">02 </t>
    </r>
    <r>
      <rPr>
        <sz val="9"/>
        <rFont val="Arial"/>
        <family val="0"/>
      </rPr>
      <t>provoz Sběrn.dv</t>
    </r>
  </si>
  <si>
    <t>dotace stát:</t>
  </si>
  <si>
    <t>vratky dávek:</t>
  </si>
  <si>
    <t>05 MPSV grant PS</t>
  </si>
  <si>
    <t>4112 dotace stát:</t>
  </si>
  <si>
    <t xml:space="preserve">2141 úroky: </t>
  </si>
  <si>
    <t>2460 splátky půjček SFZ:</t>
  </si>
  <si>
    <t>6171 objekt 21</t>
  </si>
  <si>
    <t xml:space="preserve">2210 sankce: </t>
  </si>
  <si>
    <r>
      <t>dary</t>
    </r>
    <r>
      <rPr>
        <sz val="7"/>
        <rFont val="Arial"/>
        <family val="2"/>
      </rPr>
      <t xml:space="preserve"> 2321 neinv 3121 inv 4129 SO: </t>
    </r>
  </si>
  <si>
    <t xml:space="preserve">2212 sankce - splátky: </t>
  </si>
  <si>
    <t>2343 dobýv.prostor:</t>
  </si>
  <si>
    <t>2329 nahodilé (z r. 2009):</t>
  </si>
  <si>
    <t>1341-5,7,51 místní poplatky:</t>
  </si>
  <si>
    <t>1361 správní poplatky:</t>
  </si>
  <si>
    <t>1511 daň z nemovitostí:</t>
  </si>
  <si>
    <t>4121 HMP dotace:</t>
  </si>
  <si>
    <t>4121 výnos DPPO za r. 2009:</t>
  </si>
  <si>
    <t>4131 z účtu ekon.činnosti:</t>
  </si>
  <si>
    <t>2221 FV 2009:</t>
  </si>
  <si>
    <t>2328 neidentifkované příjmy:</t>
  </si>
  <si>
    <t>splátky pokut</t>
  </si>
  <si>
    <t>nahodilé příjmy</t>
  </si>
  <si>
    <t>místní poplatky</t>
  </si>
  <si>
    <t>správní poplatky</t>
  </si>
  <si>
    <t>02 org 41083 mobiliář</t>
  </si>
  <si>
    <t>04 org 41082 MŠ zateplení</t>
  </si>
  <si>
    <t>04 org 41144 ZŠ dráha</t>
  </si>
  <si>
    <t>04 ZŠ integrace</t>
  </si>
  <si>
    <t>3319 letopis.komise</t>
  </si>
  <si>
    <t>3319 kronika</t>
  </si>
  <si>
    <t>05   SOC. A  ZDRAV.</t>
  </si>
  <si>
    <t>06   KULTURA  A  SPORT</t>
  </si>
  <si>
    <t>07   B E Z P E Č N O S T</t>
  </si>
  <si>
    <t>04   Š K O L S T V Í</t>
  </si>
  <si>
    <t>02   ROZVOJ  OBCE</t>
  </si>
  <si>
    <t>03   D O P R A V A</t>
  </si>
  <si>
    <t>09   VNITŘNÍ  SPRÁVA</t>
  </si>
  <si>
    <t>10   FINANCOVÁNÍ</t>
  </si>
  <si>
    <t>3421 org 11106 Skatepark</t>
  </si>
  <si>
    <t>04 org 41145 ZŠ doskočiště, hřiště</t>
  </si>
  <si>
    <r>
      <t>2310</t>
    </r>
    <r>
      <rPr>
        <sz val="8"/>
        <rFont val="Arial"/>
        <family val="0"/>
      </rPr>
      <t xml:space="preserve"> voda</t>
    </r>
  </si>
  <si>
    <r>
      <t>2321</t>
    </r>
    <r>
      <rPr>
        <sz val="8"/>
        <rFont val="Arial"/>
        <family val="0"/>
      </rPr>
      <t xml:space="preserve"> odp. voda </t>
    </r>
    <r>
      <rPr>
        <sz val="9"/>
        <rFont val="Arial"/>
        <family val="0"/>
      </rPr>
      <t>3722</t>
    </r>
    <r>
      <rPr>
        <sz val="8"/>
        <rFont val="Arial"/>
        <family val="0"/>
      </rPr>
      <t xml:space="preserve"> odpady</t>
    </r>
  </si>
  <si>
    <r>
      <t xml:space="preserve">2219 ost.zál.komun </t>
    </r>
    <r>
      <rPr>
        <sz val="8"/>
        <rFont val="Arial"/>
        <family val="0"/>
      </rPr>
      <t>vč osvětl SH</t>
    </r>
  </si>
  <si>
    <t>05 Hmotná nouze a ZP UZ 13306</t>
  </si>
  <si>
    <t>05 Příspěvek na péči UZ 13235</t>
  </si>
  <si>
    <r>
      <t>05 SOC</t>
    </r>
    <r>
      <rPr>
        <sz val="8"/>
        <rFont val="Arial"/>
        <family val="0"/>
      </rPr>
      <t xml:space="preserve"> inval -dar.sml</t>
    </r>
  </si>
  <si>
    <t>09 výkon agendy SPOD</t>
  </si>
  <si>
    <t>09 výkon agendy soc.sl</t>
  </si>
  <si>
    <t>06 knižní fond</t>
  </si>
  <si>
    <t>05 prevence protidrog SO P 16</t>
  </si>
  <si>
    <t>04 prevence protidrog ZŠ</t>
  </si>
  <si>
    <t>09 ZOZ</t>
  </si>
  <si>
    <t>03 org 40958 pěší propoj</t>
  </si>
  <si>
    <r>
      <t>různé organizační</t>
    </r>
    <r>
      <rPr>
        <sz val="8"/>
        <rFont val="Arial"/>
        <family val="2"/>
      </rPr>
      <t xml:space="preserve"> </t>
    </r>
    <r>
      <rPr>
        <sz val="8"/>
        <color indexed="20"/>
        <rFont val="Arial"/>
        <family val="2"/>
      </rPr>
      <t>vč.kompenz nákladů na výměnu oken Sídliště</t>
    </r>
  </si>
  <si>
    <r>
      <t xml:space="preserve">ZŠ objekty </t>
    </r>
    <r>
      <rPr>
        <sz val="8"/>
        <color indexed="20"/>
        <rFont val="Arial"/>
        <family val="2"/>
      </rPr>
      <t>vč investice 15.600</t>
    </r>
    <r>
      <rPr>
        <sz val="8"/>
        <color indexed="58"/>
        <rFont val="Arial"/>
        <family val="2"/>
      </rPr>
      <t xml:space="preserve"> UR UZ 099</t>
    </r>
  </si>
  <si>
    <r>
      <t xml:space="preserve">2212 org 4787 kontejn.st. </t>
    </r>
    <r>
      <rPr>
        <sz val="9"/>
        <color indexed="58"/>
        <rFont val="Arial"/>
        <family val="2"/>
      </rPr>
      <t>UR UZ 099</t>
    </r>
  </si>
  <si>
    <r>
      <t>3319 kult.střed</t>
    </r>
    <r>
      <rPr>
        <sz val="8"/>
        <color indexed="58"/>
        <rFont val="Arial"/>
        <family val="2"/>
      </rPr>
      <t xml:space="preserve"> rekonstr UR UZ 099</t>
    </r>
  </si>
  <si>
    <r>
      <t>3539 org 1100 NZ</t>
    </r>
    <r>
      <rPr>
        <sz val="8"/>
        <color indexed="58"/>
        <rFont val="Arial"/>
        <family val="2"/>
      </rPr>
      <t>Z digit.rent UR UZ 099</t>
    </r>
  </si>
  <si>
    <t>FV 2009:</t>
  </si>
  <si>
    <t>vlastní úpravy MČ 9/2010</t>
  </si>
  <si>
    <r>
      <t xml:space="preserve">3412 sportoviště </t>
    </r>
    <r>
      <rPr>
        <strike/>
        <sz val="7"/>
        <rFont val="Arial"/>
        <family val="2"/>
      </rPr>
      <t>3421 dětská hřiště</t>
    </r>
  </si>
  <si>
    <t>04 ZŠ oprava římsy</t>
  </si>
  <si>
    <t>07 JSDH činnost</t>
  </si>
  <si>
    <t>úprava rozpočtu HMP, stát</t>
  </si>
  <si>
    <t>vlastní úpravy MČ 3,6/2010</t>
  </si>
  <si>
    <t>ZMČ 22.9.2010</t>
  </si>
  <si>
    <r>
      <t xml:space="preserve">4351 peč.služba                        </t>
    </r>
    <r>
      <rPr>
        <sz val="9"/>
        <color indexed="12"/>
        <rFont val="Arial"/>
        <family val="2"/>
      </rPr>
      <t xml:space="preserve"> včetně 3/SZ žaluzie</t>
    </r>
  </si>
  <si>
    <r>
      <t xml:space="preserve">záplavy </t>
    </r>
    <r>
      <rPr>
        <sz val="8"/>
        <color indexed="12"/>
        <rFont val="Arial"/>
        <family val="2"/>
      </rPr>
      <t>Hrádek n/N usn RMČ 2398/2010</t>
    </r>
  </si>
  <si>
    <r>
      <t>09 Grant soc.péče</t>
    </r>
    <r>
      <rPr>
        <sz val="7"/>
        <color indexed="17"/>
        <rFont val="Arial"/>
        <family val="2"/>
      </rPr>
      <t xml:space="preserve"> </t>
    </r>
    <r>
      <rPr>
        <sz val="8"/>
        <color indexed="17"/>
        <rFont val="Arial"/>
        <family val="2"/>
      </rPr>
      <t>org 2364xx</t>
    </r>
    <r>
      <rPr>
        <sz val="8"/>
        <color indexed="12"/>
        <rFont val="Arial"/>
        <family val="2"/>
      </rPr>
      <t>1,</t>
    </r>
    <r>
      <rPr>
        <sz val="8"/>
        <color indexed="17"/>
        <rFont val="Arial"/>
        <family val="2"/>
      </rPr>
      <t>3</t>
    </r>
  </si>
  <si>
    <t>výplata dávek</t>
  </si>
  <si>
    <t>vratky dávek MHMP</t>
  </si>
  <si>
    <t>3636 územní rozvoj</t>
  </si>
  <si>
    <t>01   ÚZEMNÍ   ROZVOJ</t>
  </si>
  <si>
    <t>ZŠ dofinanc hřiště,dráha,doskočiště</t>
  </si>
  <si>
    <r>
      <t xml:space="preserve">dary 2322 </t>
    </r>
    <r>
      <rPr>
        <sz val="8"/>
        <color indexed="20"/>
        <rFont val="Arial"/>
        <family val="2"/>
      </rPr>
      <t>poj.plnění</t>
    </r>
  </si>
  <si>
    <t>2329 Hav.posv. celkem inkaso</t>
  </si>
  <si>
    <t>FV 2009 SPOD:</t>
  </si>
  <si>
    <t xml:space="preserve">Radotínská o.p.s. vratka půjčky: </t>
  </si>
  <si>
    <r>
      <t xml:space="preserve">09 správa volby </t>
    </r>
    <r>
      <rPr>
        <sz val="7"/>
        <color indexed="12"/>
        <rFont val="Arial"/>
        <family val="2"/>
      </rPr>
      <t>komun 6115 UZ 98187</t>
    </r>
  </si>
  <si>
    <r>
      <t xml:space="preserve">09 správa volby </t>
    </r>
    <r>
      <rPr>
        <sz val="7"/>
        <color indexed="12"/>
        <rFont val="Arial"/>
        <family val="2"/>
      </rPr>
      <t>PS 6114 UZ 98071</t>
    </r>
  </si>
  <si>
    <t>HMP</t>
  </si>
  <si>
    <t>08    HOSPODÁŘSTVÍ</t>
  </si>
  <si>
    <r>
      <t>04 ZŠ integrace</t>
    </r>
    <r>
      <rPr>
        <sz val="9"/>
        <color indexed="17"/>
        <rFont val="Arial"/>
        <family val="2"/>
      </rPr>
      <t xml:space="preserve"> UZ 091</t>
    </r>
  </si>
  <si>
    <r>
      <t xml:space="preserve">04 MŠ integrace </t>
    </r>
    <r>
      <rPr>
        <sz val="9"/>
        <color indexed="17"/>
        <rFont val="Arial"/>
        <family val="2"/>
      </rPr>
      <t>UZ 091</t>
    </r>
  </si>
  <si>
    <t>k čerpání provoz + investice:</t>
  </si>
  <si>
    <t>výsledek vlastní MČ:</t>
  </si>
  <si>
    <t>k čerpání stát:</t>
  </si>
  <si>
    <t>17,6 pošt</t>
  </si>
  <si>
    <t>příspěvek PO TS</t>
  </si>
  <si>
    <t>Skutečnost       1-11/2010</t>
  </si>
  <si>
    <t xml:space="preserve">  12/12 =</t>
  </si>
  <si>
    <t>Skutečnost 1-12/2010</t>
  </si>
  <si>
    <t>vlastní úpravy MČ 12/2010</t>
  </si>
  <si>
    <t>3722 Sběrný dvůr dofin MČ</t>
  </si>
  <si>
    <r>
      <t xml:space="preserve">2212 </t>
    </r>
    <r>
      <rPr>
        <sz val="9"/>
        <color indexed="12"/>
        <rFont val="Arial"/>
        <family val="2"/>
      </rPr>
      <t>p</t>
    </r>
    <r>
      <rPr>
        <sz val="8"/>
        <color indexed="12"/>
        <rFont val="Arial"/>
        <family val="2"/>
      </rPr>
      <t>ěší propoj org 40958 +</t>
    </r>
    <r>
      <rPr>
        <sz val="8"/>
        <rFont val="Arial"/>
        <family val="2"/>
      </rPr>
      <t xml:space="preserve"> org 36122 Park. U DS</t>
    </r>
  </si>
  <si>
    <r>
      <t xml:space="preserve">MŠ rozšíření tříd </t>
    </r>
    <r>
      <rPr>
        <sz val="9"/>
        <color indexed="58"/>
        <rFont val="Arial"/>
        <family val="2"/>
      </rPr>
      <t>UZ 099</t>
    </r>
    <r>
      <rPr>
        <sz val="9"/>
        <color indexed="12"/>
        <rFont val="Arial"/>
        <family val="2"/>
      </rPr>
      <t>+zatepl</t>
    </r>
  </si>
  <si>
    <t>09 SBDO příprava 2011</t>
  </si>
  <si>
    <t>org 241210 vánoce</t>
  </si>
  <si>
    <r>
      <t xml:space="preserve">6171 objekt 23 </t>
    </r>
    <r>
      <rPr>
        <sz val="8"/>
        <color indexed="12"/>
        <rFont val="Arial"/>
        <family val="2"/>
      </rPr>
      <t>v tom sv.síň 14.730,00</t>
    </r>
  </si>
  <si>
    <t>SPOD z 732:</t>
  </si>
  <si>
    <t>SPOD provoz:</t>
  </si>
  <si>
    <t>SPOD celkem:</t>
  </si>
  <si>
    <t>SPOD mzdy:</t>
  </si>
  <si>
    <t>SPOD UZ:</t>
  </si>
  <si>
    <t>soc.péče celkem:</t>
  </si>
  <si>
    <t>z toho PS:</t>
  </si>
  <si>
    <t>dávky rozpočet</t>
  </si>
  <si>
    <t>dávky skutečnost</t>
  </si>
  <si>
    <t>UZ 091:</t>
  </si>
  <si>
    <t>UZ 084:</t>
  </si>
  <si>
    <t>UZ 081:</t>
  </si>
  <si>
    <t>granty provoz:</t>
  </si>
  <si>
    <t>granty invest:</t>
  </si>
  <si>
    <t>projekt DIO 8,5</t>
  </si>
  <si>
    <t>instal 1,1</t>
  </si>
  <si>
    <t>MČ P 16 1.247,1 zatepl z UZ</t>
  </si>
  <si>
    <t>MČ P 16 128,4 z UZ</t>
  </si>
  <si>
    <t>MČ vl.prostř 400,0</t>
  </si>
  <si>
    <t>dotace UZ 71,9</t>
  </si>
  <si>
    <r>
      <t>přísp 10-12 + UR 35,0+578</t>
    </r>
    <r>
      <rPr>
        <sz val="7"/>
        <color indexed="12"/>
        <rFont val="Arial"/>
        <family val="2"/>
      </rPr>
      <t xml:space="preserve"> (928-350 HMP)</t>
    </r>
  </si>
  <si>
    <t>přísp 10-12</t>
  </si>
  <si>
    <t>opr.světel 4,9</t>
  </si>
  <si>
    <t>dotace UZ 162,1</t>
  </si>
  <si>
    <t>opr.čtenáři 5,0; vratka -420,0; radiát 80,0;</t>
  </si>
  <si>
    <t>odm 2x1,0</t>
  </si>
  <si>
    <t>POKL ? Služby</t>
  </si>
  <si>
    <t>zást.star.hř projekt 25,0</t>
  </si>
  <si>
    <t>NS vodov.příp 51,3;zást.star.hř projekt 25,0</t>
  </si>
  <si>
    <t>dočerp UZ 5,7</t>
  </si>
  <si>
    <t>služby 7,2; údrž 7,0; služby 1517 3,5</t>
  </si>
  <si>
    <t>mater 1,3; telef 0,6; nájem tělocv 2,6; poj 0,6; čerp UZ -5,7</t>
  </si>
  <si>
    <t>pošt 3,5</t>
  </si>
  <si>
    <r>
      <t>mater 5,5; služby 3,0; vratka</t>
    </r>
    <r>
      <rPr>
        <sz val="7"/>
        <color indexed="12"/>
        <rFont val="Arial"/>
        <family val="2"/>
      </rPr>
      <t xml:space="preserve"> Lip+Zbr</t>
    </r>
    <r>
      <rPr>
        <sz val="8"/>
        <color indexed="12"/>
        <rFont val="Arial"/>
        <family val="0"/>
      </rPr>
      <t xml:space="preserve"> - 15,5</t>
    </r>
  </si>
  <si>
    <t>PS 1.282; ost 1009 obědů</t>
  </si>
  <si>
    <t>bal.ván 18,6; představ 6,0; občerstv 6,6</t>
  </si>
  <si>
    <t>dočerp UZ 1,7 ZŠ Lip; 7,0 ZŠ Louč</t>
  </si>
  <si>
    <t>Profis IV,V 1.195,4+2.237,2;1.162,8 z 1.951,9; z vl.prostř.MČ 1.247,1</t>
  </si>
  <si>
    <t>EKIS 1.159,0+803,3; z vl.prostř MČ 128,4</t>
  </si>
  <si>
    <t>ZOZ Součková</t>
  </si>
  <si>
    <t>dočerp UZ PS 108,1</t>
  </si>
  <si>
    <t>přísp. TS Sb.dv. od 10,5/12</t>
  </si>
  <si>
    <t>dočerp UZ PS 315,0 (10-12/2010)</t>
  </si>
  <si>
    <t>převod UZ 98216 z čp. 732/ 100,0; ÚMČ 288,0; mzd.nákl 9-12/ 556,0</t>
  </si>
  <si>
    <t>výplata dávek v tom pouk. 50.000</t>
  </si>
  <si>
    <r>
      <t>N P 16 12</t>
    </r>
    <r>
      <rPr>
        <i/>
        <sz val="8"/>
        <color indexed="12"/>
        <rFont val="Arial"/>
        <family val="0"/>
      </rPr>
      <t>/2010</t>
    </r>
  </si>
  <si>
    <t>čerpání SPOD +100,0; služby okna 2,1; elinstal 21,6; teplo 12,6</t>
  </si>
  <si>
    <r>
      <t xml:space="preserve">voda </t>
    </r>
    <r>
      <rPr>
        <sz val="8"/>
        <color indexed="12"/>
        <rFont val="Arial"/>
        <family val="0"/>
      </rPr>
      <t>16,2</t>
    </r>
    <r>
      <rPr>
        <sz val="7"/>
        <color indexed="12"/>
        <rFont val="Arial"/>
        <family val="2"/>
      </rPr>
      <t xml:space="preserve">;teplo </t>
    </r>
    <r>
      <rPr>
        <sz val="8"/>
        <color indexed="12"/>
        <rFont val="Arial"/>
        <family val="0"/>
      </rPr>
      <t>61,4</t>
    </r>
    <r>
      <rPr>
        <sz val="7"/>
        <color indexed="12"/>
        <rFont val="Arial"/>
        <family val="2"/>
      </rPr>
      <t xml:space="preserve">;služby </t>
    </r>
    <r>
      <rPr>
        <sz val="8"/>
        <color indexed="12"/>
        <rFont val="Arial"/>
        <family val="0"/>
      </rPr>
      <t>11,1</t>
    </r>
    <r>
      <rPr>
        <sz val="7"/>
        <color indexed="12"/>
        <rFont val="Arial"/>
        <family val="2"/>
      </rPr>
      <t xml:space="preserve">;elektro </t>
    </r>
    <r>
      <rPr>
        <sz val="8"/>
        <color indexed="12"/>
        <rFont val="Arial"/>
        <family val="0"/>
      </rPr>
      <t>16,3</t>
    </r>
  </si>
  <si>
    <t xml:space="preserve"> 11-12/2010 </t>
  </si>
  <si>
    <t xml:space="preserve"> 11-12/2010 285,9; čerpání UZ - 561,8 </t>
  </si>
  <si>
    <r>
      <t xml:space="preserve"> 11-12/2010 </t>
    </r>
    <r>
      <rPr>
        <i/>
        <sz val="8"/>
        <color indexed="12"/>
        <rFont val="Arial"/>
        <family val="2"/>
      </rPr>
      <t>2.012,1</t>
    </r>
    <r>
      <rPr>
        <sz val="8"/>
        <color indexed="12"/>
        <rFont val="Arial"/>
        <family val="0"/>
      </rPr>
      <t xml:space="preserve"> </t>
    </r>
    <r>
      <rPr>
        <sz val="8"/>
        <color indexed="10"/>
        <rFont val="Arial"/>
        <family val="2"/>
      </rPr>
      <t>převod do EČ -419,8 do BH -137,9</t>
    </r>
  </si>
  <si>
    <t>převod z BH</t>
  </si>
  <si>
    <r>
      <t xml:space="preserve">převod </t>
    </r>
    <r>
      <rPr>
        <sz val="8"/>
        <color indexed="10"/>
        <rFont val="Arial"/>
        <family val="2"/>
      </rPr>
      <t>z BH</t>
    </r>
    <r>
      <rPr>
        <sz val="8"/>
        <color indexed="12"/>
        <rFont val="Arial"/>
        <family val="0"/>
      </rPr>
      <t xml:space="preserve"> (Andrýsek)</t>
    </r>
  </si>
  <si>
    <t>ZMČ 10,4; ÚMČ služby 59,0 z toho ván.osvětl 41,0 Rak 18,0</t>
  </si>
  <si>
    <t>Rytíři 3,5+5,9; posvíc 22,8; 18/9: 3,9</t>
  </si>
  <si>
    <t>FOMEI dodávka</t>
  </si>
  <si>
    <t>posvíc 16,2; vánoce konc 5,0</t>
  </si>
  <si>
    <r>
      <t xml:space="preserve">tisk 3,8; DHDM 45,4; mater 83,8; PHM 6,6;pošt 100;tlf 33,6;bank 11,9;pošta 0,7;právní 57,6;škol 6,9;služby -89,7;údrž 4,3;cest 1,9;zálohy -118,6;odvod 37,8; kolky 3,4;DNP 10,9;půjčka 30;SFZ 378,6;přístr 108,8 </t>
    </r>
    <r>
      <rPr>
        <i/>
        <sz val="8"/>
        <color indexed="12"/>
        <rFont val="Arial"/>
        <family val="2"/>
      </rPr>
      <t>COMES</t>
    </r>
    <r>
      <rPr>
        <sz val="8"/>
        <color indexed="12"/>
        <rFont val="Arial"/>
        <family val="2"/>
      </rPr>
      <t>;leas 7,8 (725,5); poj 4,4; 107/ -76,2;grant - 1,7;</t>
    </r>
  </si>
  <si>
    <r>
      <t xml:space="preserve"> 11-12/2010 340 </t>
    </r>
    <r>
      <rPr>
        <strike/>
        <sz val="8"/>
        <color indexed="12"/>
        <rFont val="Arial"/>
        <family val="2"/>
      </rPr>
      <t>354,2</t>
    </r>
    <r>
      <rPr>
        <sz val="8"/>
        <color indexed="12"/>
        <rFont val="Arial"/>
        <family val="0"/>
      </rPr>
      <t xml:space="preserve">; nákup pro prodej 150; mater 6,7; repre 39,9 </t>
    </r>
    <r>
      <rPr>
        <i/>
        <sz val="8"/>
        <color indexed="12"/>
        <rFont val="Arial"/>
        <family val="2"/>
      </rPr>
      <t>(36+1+2,5 SRN+Vláč)</t>
    </r>
    <r>
      <rPr>
        <sz val="8"/>
        <color indexed="12"/>
        <rFont val="Arial"/>
        <family val="0"/>
      </rPr>
      <t>; věc.dar 250</t>
    </r>
  </si>
  <si>
    <t>vč.Cinemas 62.912,12</t>
  </si>
  <si>
    <t>nesplněna DzN:</t>
  </si>
  <si>
    <t>rychl 0,9x2; opr Osv,V Sud,Stráž 42,1; znač+DIO Výpad 79,5; TS 74,9;znač 23,5; opr.účt. sanace Štěrk z 5/2010 - 75,4</t>
  </si>
  <si>
    <t>opr. sanace zdi Štěrková z 5/2010 +75,4</t>
  </si>
  <si>
    <r>
      <t>do EČ -11,3-66,2 BH; mzd.n. 232,7; čerp.Grantu -118,0;čerp MPSV -315</t>
    </r>
    <r>
      <rPr>
        <sz val="8"/>
        <color indexed="17"/>
        <rFont val="Arial"/>
        <family val="2"/>
      </rPr>
      <t xml:space="preserve">; </t>
    </r>
    <r>
      <rPr>
        <sz val="8"/>
        <color indexed="12"/>
        <rFont val="Arial"/>
        <family val="2"/>
      </rPr>
      <t>leas 6,6; údrž: VW 18,2+5,7; pneu 3,6; poj 7,5</t>
    </r>
  </si>
  <si>
    <t>vratka teplo 471,1; snížení záloh -151,7</t>
  </si>
  <si>
    <t>osvětl SH 2,7 Chrob 0,5; přel. Na Vin 43,4</t>
  </si>
  <si>
    <t xml:space="preserve">vratka el.en+voda +319,4;teplo +78,9 DALK 217,5; proj.šatny 93,6; elektro 57,2; </t>
  </si>
  <si>
    <t>střecha 44,1</t>
  </si>
  <si>
    <t>elektro 4,8</t>
  </si>
  <si>
    <t xml:space="preserve">teplo 26,7;služby 135,0 (elinstal 130,6; kopírka 3,3); květiny 12,7; </t>
  </si>
  <si>
    <r>
      <t>odm OOS 7,2</t>
    </r>
    <r>
      <rPr>
        <sz val="8"/>
        <color indexed="12"/>
        <rFont val="Arial"/>
        <family val="2"/>
      </rPr>
      <t>; opr z 11/ - 0,6; květiny 2,8</t>
    </r>
  </si>
  <si>
    <t>Skutečnost 12/2010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</si>
</sst>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000"/>
    <numFmt numFmtId="167" formatCode="0.000000"/>
    <numFmt numFmtId="168" formatCode="0.00000"/>
    <numFmt numFmtId="169" formatCode="0.00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6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color indexed="20"/>
      <name val="Arial CE"/>
      <family val="0"/>
    </font>
    <font>
      <sz val="10"/>
      <color indexed="20"/>
      <name val="Arial CE"/>
      <family val="0"/>
    </font>
    <font>
      <sz val="8"/>
      <color indexed="10"/>
      <name val="Arial CE"/>
      <family val="0"/>
    </font>
    <font>
      <sz val="8"/>
      <color indexed="20"/>
      <name val="Arial"/>
      <family val="0"/>
    </font>
    <font>
      <sz val="7"/>
      <name val="Arial"/>
      <family val="2"/>
    </font>
    <font>
      <sz val="10"/>
      <name val="Arial CE"/>
      <family val="0"/>
    </font>
    <font>
      <sz val="10"/>
      <color indexed="20"/>
      <name val="Arial"/>
      <family val="2"/>
    </font>
    <font>
      <strike/>
      <sz val="8"/>
      <name val="Arial"/>
      <family val="2"/>
    </font>
    <font>
      <i/>
      <sz val="8"/>
      <name val="Arial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b/>
      <sz val="8"/>
      <color indexed="12"/>
      <name val="Arial CE"/>
      <family val="0"/>
    </font>
    <font>
      <b/>
      <sz val="8"/>
      <name val="Arial CE"/>
      <family val="0"/>
    </font>
    <font>
      <sz val="9"/>
      <color indexed="12"/>
      <name val="Arial"/>
      <family val="0"/>
    </font>
    <font>
      <sz val="8"/>
      <color indexed="12"/>
      <name val="Arial"/>
      <family val="0"/>
    </font>
    <font>
      <sz val="8"/>
      <color indexed="12"/>
      <name val="Arial CE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7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12"/>
      <name val="Arial"/>
      <family val="0"/>
    </font>
    <font>
      <sz val="8"/>
      <color indexed="10"/>
      <name val="Arial"/>
      <family val="2"/>
    </font>
    <font>
      <strike/>
      <sz val="9"/>
      <name val="Arial"/>
      <family val="0"/>
    </font>
    <font>
      <b/>
      <sz val="9"/>
      <name val="Arial"/>
      <family val="0"/>
    </font>
    <font>
      <sz val="10"/>
      <color indexed="12"/>
      <name val="Arial CE"/>
      <family val="0"/>
    </font>
    <font>
      <sz val="7"/>
      <color indexed="12"/>
      <name val="Arial"/>
      <family val="0"/>
    </font>
    <font>
      <b/>
      <sz val="7"/>
      <name val="Arial"/>
      <family val="0"/>
    </font>
    <font>
      <sz val="9"/>
      <color indexed="20"/>
      <name val="Arial"/>
      <family val="0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9"/>
      <color indexed="58"/>
      <name val="Arial"/>
      <family val="0"/>
    </font>
    <font>
      <sz val="10"/>
      <color indexed="58"/>
      <name val="Arial"/>
      <family val="0"/>
    </font>
    <font>
      <sz val="8"/>
      <color indexed="58"/>
      <name val="Arial"/>
      <family val="0"/>
    </font>
    <font>
      <b/>
      <sz val="10"/>
      <color indexed="58"/>
      <name val="Arial"/>
      <family val="0"/>
    </font>
    <font>
      <sz val="8"/>
      <color indexed="58"/>
      <name val="Arial CE"/>
      <family val="0"/>
    </font>
    <font>
      <sz val="10"/>
      <color indexed="58"/>
      <name val="Arial CE"/>
      <family val="0"/>
    </font>
    <font>
      <sz val="8"/>
      <color indexed="17"/>
      <name val="Arial"/>
      <family val="0"/>
    </font>
    <font>
      <sz val="10"/>
      <color indexed="17"/>
      <name val="Arial CE"/>
      <family val="0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7"/>
      <color indexed="17"/>
      <name val="Arial"/>
      <family val="2"/>
    </font>
    <font>
      <b/>
      <sz val="8"/>
      <color indexed="20"/>
      <name val="Arial CE"/>
      <family val="0"/>
    </font>
    <font>
      <sz val="9"/>
      <color indexed="10"/>
      <name val="Arial"/>
      <family val="0"/>
    </font>
    <font>
      <strike/>
      <sz val="7"/>
      <name val="Arial"/>
      <family val="2"/>
    </font>
    <font>
      <b/>
      <i/>
      <sz val="8"/>
      <name val="Arial"/>
      <family val="0"/>
    </font>
    <font>
      <b/>
      <sz val="8"/>
      <color indexed="20"/>
      <name val="Arial"/>
      <family val="0"/>
    </font>
    <font>
      <i/>
      <sz val="8"/>
      <color indexed="20"/>
      <name val="Arial"/>
      <family val="2"/>
    </font>
    <font>
      <sz val="9"/>
      <color indexed="17"/>
      <name val="Arial"/>
      <family val="2"/>
    </font>
    <font>
      <i/>
      <sz val="8"/>
      <color indexed="12"/>
      <name val="Arial"/>
      <family val="2"/>
    </font>
    <font>
      <strike/>
      <sz val="8"/>
      <color indexed="12"/>
      <name val="Arial"/>
      <family val="2"/>
    </font>
    <font>
      <b/>
      <i/>
      <sz val="8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64" fontId="3" fillId="2" borderId="0" xfId="0" applyNumberFormat="1" applyFont="1" applyFill="1" applyAlignment="1">
      <alignment/>
    </xf>
    <xf numFmtId="164" fontId="3" fillId="2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 wrapText="1"/>
    </xf>
    <xf numFmtId="164" fontId="2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3" borderId="0" xfId="0" applyNumberFormat="1" applyFill="1" applyAlignment="1">
      <alignment/>
    </xf>
    <xf numFmtId="164" fontId="11" fillId="3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3" fillId="2" borderId="0" xfId="0" applyNumberFormat="1" applyFont="1" applyFill="1" applyBorder="1" applyAlignment="1">
      <alignment/>
    </xf>
    <xf numFmtId="0" fontId="1" fillId="0" borderId="0" xfId="0" applyFont="1" applyAlignment="1">
      <alignment horizontal="right" wrapText="1"/>
    </xf>
    <xf numFmtId="164" fontId="0" fillId="0" borderId="0" xfId="0" applyNumberFormat="1" applyFont="1" applyAlignment="1">
      <alignment/>
    </xf>
    <xf numFmtId="164" fontId="10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3" fillId="4" borderId="0" xfId="0" applyNumberFormat="1" applyFont="1" applyFill="1" applyAlignment="1">
      <alignment/>
    </xf>
    <xf numFmtId="164" fontId="3" fillId="4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wrapText="1"/>
    </xf>
    <xf numFmtId="4" fontId="2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64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1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2" fillId="2" borderId="0" xfId="0" applyNumberFormat="1" applyFont="1" applyFill="1" applyBorder="1" applyAlignment="1">
      <alignment/>
    </xf>
    <xf numFmtId="4" fontId="22" fillId="4" borderId="0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 wrapText="1"/>
    </xf>
    <xf numFmtId="164" fontId="0" fillId="0" borderId="0" xfId="0" applyNumberFormat="1" applyFont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2" fontId="8" fillId="5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4" fontId="25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164" fontId="15" fillId="2" borderId="0" xfId="0" applyNumberFormat="1" applyFont="1" applyFill="1" applyBorder="1" applyAlignment="1">
      <alignment/>
    </xf>
    <xf numFmtId="0" fontId="19" fillId="0" borderId="0" xfId="0" applyFont="1" applyBorder="1" applyAlignment="1">
      <alignment/>
    </xf>
    <xf numFmtId="4" fontId="19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/>
    </xf>
    <xf numFmtId="0" fontId="28" fillId="2" borderId="0" xfId="0" applyFont="1" applyFill="1" applyAlignment="1">
      <alignment wrapText="1"/>
    </xf>
    <xf numFmtId="0" fontId="28" fillId="4" borderId="0" xfId="0" applyFont="1" applyFill="1" applyAlignment="1">
      <alignment wrapText="1"/>
    </xf>
    <xf numFmtId="4" fontId="26" fillId="0" borderId="0" xfId="0" applyNumberFormat="1" applyFont="1" applyFill="1" applyBorder="1" applyAlignment="1">
      <alignment/>
    </xf>
    <xf numFmtId="0" fontId="18" fillId="0" borderId="0" xfId="0" applyFont="1" applyAlignment="1">
      <alignment wrapText="1"/>
    </xf>
    <xf numFmtId="164" fontId="25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25" fillId="0" borderId="0" xfId="0" applyFont="1" applyAlignment="1">
      <alignment/>
    </xf>
    <xf numFmtId="4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" fontId="31" fillId="0" borderId="0" xfId="0" applyNumberFormat="1" applyFont="1" applyFill="1" applyBorder="1" applyAlignment="1">
      <alignment/>
    </xf>
    <xf numFmtId="2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164" fontId="25" fillId="0" borderId="0" xfId="0" applyNumberFormat="1" applyFont="1" applyFill="1" applyBorder="1" applyAlignment="1">
      <alignment/>
    </xf>
    <xf numFmtId="0" fontId="32" fillId="0" borderId="0" xfId="0" applyFont="1" applyAlignment="1">
      <alignment wrapText="1"/>
    </xf>
    <xf numFmtId="164" fontId="24" fillId="4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32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4" fontId="14" fillId="0" borderId="0" xfId="0" applyNumberFormat="1" applyFont="1" applyFill="1" applyBorder="1" applyAlignment="1">
      <alignment/>
    </xf>
    <xf numFmtId="4" fontId="37" fillId="0" borderId="0" xfId="0" applyNumberFormat="1" applyFont="1" applyFill="1" applyBorder="1" applyAlignment="1">
      <alignment/>
    </xf>
    <xf numFmtId="4" fontId="38" fillId="0" borderId="0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4" fontId="38" fillId="2" borderId="0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/>
    </xf>
    <xf numFmtId="164" fontId="36" fillId="0" borderId="0" xfId="0" applyNumberFormat="1" applyFont="1" applyBorder="1" applyAlignment="1">
      <alignment/>
    </xf>
    <xf numFmtId="164" fontId="36" fillId="0" borderId="0" xfId="0" applyNumberFormat="1" applyFont="1" applyFill="1" applyBorder="1" applyAlignment="1">
      <alignment/>
    </xf>
    <xf numFmtId="0" fontId="35" fillId="0" borderId="0" xfId="0" applyFont="1" applyAlignment="1">
      <alignment wrapText="1"/>
    </xf>
    <xf numFmtId="3" fontId="39" fillId="0" borderId="0" xfId="0" applyNumberFormat="1" applyFont="1" applyFill="1" applyBorder="1" applyAlignment="1">
      <alignment/>
    </xf>
    <xf numFmtId="164" fontId="36" fillId="0" borderId="0" xfId="0" applyNumberFormat="1" applyFont="1" applyAlignment="1">
      <alignment/>
    </xf>
    <xf numFmtId="164" fontId="42" fillId="0" borderId="0" xfId="0" applyNumberFormat="1" applyFont="1" applyFill="1" applyBorder="1" applyAlignment="1">
      <alignment/>
    </xf>
    <xf numFmtId="164" fontId="43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64" fontId="43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46" fillId="0" borderId="0" xfId="0" applyFont="1" applyFill="1" applyBorder="1" applyAlignment="1">
      <alignment horizontal="center" wrapText="1"/>
    </xf>
    <xf numFmtId="164" fontId="24" fillId="0" borderId="0" xfId="0" applyNumberFormat="1" applyFont="1" applyBorder="1" applyAlignment="1">
      <alignment/>
    </xf>
    <xf numFmtId="164" fontId="24" fillId="0" borderId="0" xfId="0" applyNumberFormat="1" applyFont="1" applyFill="1" applyBorder="1" applyAlignment="1">
      <alignment/>
    </xf>
    <xf numFmtId="164" fontId="24" fillId="2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wrapText="1"/>
    </xf>
    <xf numFmtId="164" fontId="2" fillId="6" borderId="0" xfId="0" applyNumberFormat="1" applyFont="1" applyFill="1" applyBorder="1" applyAlignment="1">
      <alignment/>
    </xf>
    <xf numFmtId="164" fontId="11" fillId="4" borderId="0" xfId="0" applyNumberFormat="1" applyFont="1" applyFill="1" applyBorder="1" applyAlignment="1">
      <alignment/>
    </xf>
    <xf numFmtId="164" fontId="25" fillId="4" borderId="0" xfId="0" applyNumberFormat="1" applyFont="1" applyFill="1" applyBorder="1" applyAlignment="1">
      <alignment/>
    </xf>
    <xf numFmtId="16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4" fontId="3" fillId="4" borderId="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4" fontId="41" fillId="0" borderId="0" xfId="0" applyNumberFormat="1" applyFont="1" applyFill="1" applyAlignment="1">
      <alignment/>
    </xf>
    <xf numFmtId="164" fontId="26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164" fontId="2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10" fontId="13" fillId="0" borderId="0" xfId="0" applyNumberFormat="1" applyFont="1" applyFill="1" applyBorder="1" applyAlignment="1">
      <alignment/>
    </xf>
    <xf numFmtId="10" fontId="49" fillId="0" borderId="0" xfId="0" applyNumberFormat="1" applyFont="1" applyFill="1" applyBorder="1" applyAlignment="1">
      <alignment/>
    </xf>
    <xf numFmtId="10" fontId="13" fillId="0" borderId="0" xfId="0" applyNumberFormat="1" applyFont="1" applyBorder="1" applyAlignment="1">
      <alignment/>
    </xf>
    <xf numFmtId="10" fontId="49" fillId="2" borderId="0" xfId="0" applyNumberFormat="1" applyFont="1" applyFill="1" applyBorder="1" applyAlignment="1">
      <alignment/>
    </xf>
    <xf numFmtId="10" fontId="13" fillId="4" borderId="0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0" fontId="2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24" fillId="0" borderId="0" xfId="0" applyFont="1" applyAlignment="1">
      <alignment wrapText="1"/>
    </xf>
    <xf numFmtId="164" fontId="24" fillId="0" borderId="0" xfId="0" applyNumberFormat="1" applyFont="1" applyAlignment="1">
      <alignment/>
    </xf>
    <xf numFmtId="164" fontId="24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3" fontId="8" fillId="5" borderId="0" xfId="0" applyNumberFormat="1" applyFont="1" applyFill="1" applyBorder="1" applyAlignment="1">
      <alignment/>
    </xf>
    <xf numFmtId="4" fontId="8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4" fontId="2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 wrapText="1"/>
    </xf>
    <xf numFmtId="4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4" fontId="19" fillId="0" borderId="0" xfId="0" applyNumberFormat="1" applyFont="1" applyAlignment="1">
      <alignment wrapText="1"/>
    </xf>
    <xf numFmtId="4" fontId="47" fillId="0" borderId="0" xfId="0" applyNumberFormat="1" applyFont="1" applyAlignment="1">
      <alignment wrapText="1"/>
    </xf>
    <xf numFmtId="4" fontId="2" fillId="7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0" fontId="41" fillId="0" borderId="0" xfId="0" applyFont="1" applyAlignment="1">
      <alignment wrapText="1"/>
    </xf>
    <xf numFmtId="4" fontId="41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4" fontId="41" fillId="2" borderId="0" xfId="0" applyNumberFormat="1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Alignment="1">
      <alignment wrapText="1"/>
    </xf>
    <xf numFmtId="4" fontId="41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164" fontId="24" fillId="0" borderId="0" xfId="0" applyNumberFormat="1" applyFont="1" applyFill="1" applyBorder="1" applyAlignment="1">
      <alignment/>
    </xf>
    <xf numFmtId="164" fontId="38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164" fontId="3" fillId="7" borderId="0" xfId="0" applyNumberFormat="1" applyFont="1" applyFill="1" applyBorder="1" applyAlignment="1">
      <alignment/>
    </xf>
    <xf numFmtId="164" fontId="24" fillId="7" borderId="0" xfId="0" applyNumberFormat="1" applyFont="1" applyFill="1" applyBorder="1" applyAlignment="1">
      <alignment/>
    </xf>
    <xf numFmtId="164" fontId="15" fillId="7" borderId="0" xfId="0" applyNumberFormat="1" applyFont="1" applyFill="1" applyBorder="1" applyAlignment="1">
      <alignment/>
    </xf>
    <xf numFmtId="0" fontId="19" fillId="7" borderId="0" xfId="0" applyFont="1" applyFill="1" applyBorder="1" applyAlignment="1">
      <alignment/>
    </xf>
    <xf numFmtId="4" fontId="3" fillId="7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53" fillId="0" borderId="0" xfId="0" applyNumberFormat="1" applyFont="1" applyFill="1" applyBorder="1" applyAlignment="1">
      <alignment/>
    </xf>
    <xf numFmtId="2" fontId="19" fillId="5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164" fontId="15" fillId="0" borderId="0" xfId="0" applyNumberFormat="1" applyFont="1" applyBorder="1" applyAlignment="1">
      <alignment/>
    </xf>
    <xf numFmtId="0" fontId="30" fillId="0" borderId="0" xfId="0" applyFont="1" applyAlignment="1">
      <alignment wrapText="1"/>
    </xf>
    <xf numFmtId="4" fontId="15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19" fillId="2" borderId="0" xfId="0" applyNumberFormat="1" applyFont="1" applyFill="1" applyBorder="1" applyAlignment="1">
      <alignment/>
    </xf>
    <xf numFmtId="4" fontId="53" fillId="2" borderId="0" xfId="0" applyNumberFormat="1" applyFont="1" applyFill="1" applyBorder="1" applyAlignment="1">
      <alignment/>
    </xf>
    <xf numFmtId="4" fontId="20" fillId="2" borderId="0" xfId="0" applyNumberFormat="1" applyFont="1" applyFill="1" applyBorder="1" applyAlignment="1">
      <alignment/>
    </xf>
    <xf numFmtId="4" fontId="19" fillId="5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Border="1" applyAlignment="1">
      <alignment wrapText="1"/>
    </xf>
    <xf numFmtId="4" fontId="20" fillId="2" borderId="0" xfId="0" applyNumberFormat="1" applyFont="1" applyFill="1" applyBorder="1" applyAlignment="1">
      <alignment wrapText="1"/>
    </xf>
    <xf numFmtId="4" fontId="8" fillId="2" borderId="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4" fontId="19" fillId="0" borderId="0" xfId="0" applyNumberFormat="1" applyFont="1" applyAlignment="1">
      <alignment/>
    </xf>
    <xf numFmtId="4" fontId="19" fillId="0" borderId="0" xfId="0" applyNumberFormat="1" applyFont="1" applyFill="1" applyAlignment="1">
      <alignment/>
    </xf>
    <xf numFmtId="4" fontId="15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2" fontId="19" fillId="0" borderId="0" xfId="0" applyNumberFormat="1" applyFont="1" applyAlignment="1">
      <alignment/>
    </xf>
    <xf numFmtId="4" fontId="19" fillId="0" borderId="0" xfId="0" applyNumberFormat="1" applyFont="1" applyAlignment="1">
      <alignment wrapText="1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30" fillId="0" borderId="0" xfId="0" applyFont="1" applyAlignment="1">
      <alignment wrapText="1"/>
    </xf>
    <xf numFmtId="4" fontId="19" fillId="0" borderId="0" xfId="0" applyNumberFormat="1" applyFont="1" applyFill="1" applyAlignment="1">
      <alignment wrapText="1"/>
    </xf>
    <xf numFmtId="14" fontId="19" fillId="0" borderId="0" xfId="0" applyNumberFormat="1" applyFont="1" applyAlignment="1">
      <alignment wrapText="1"/>
    </xf>
    <xf numFmtId="10" fontId="53" fillId="0" borderId="0" xfId="0" applyNumberFormat="1" applyFont="1" applyFill="1" applyAlignment="1">
      <alignment horizontal="center"/>
    </xf>
    <xf numFmtId="10" fontId="53" fillId="0" borderId="0" xfId="0" applyNumberFormat="1" applyFont="1" applyAlignment="1">
      <alignment/>
    </xf>
    <xf numFmtId="4" fontId="15" fillId="0" borderId="0" xfId="0" applyNumberFormat="1" applyFont="1" applyBorder="1" applyAlignment="1">
      <alignment/>
    </xf>
    <xf numFmtId="10" fontId="55" fillId="0" borderId="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19" fillId="5" borderId="0" xfId="0" applyFont="1" applyFill="1" applyBorder="1" applyAlignment="1">
      <alignment/>
    </xf>
    <xf numFmtId="4" fontId="2" fillId="2" borderId="0" xfId="0" applyNumberFormat="1" applyFont="1" applyFill="1" applyBorder="1" applyAlignment="1">
      <alignment horizontal="right" wrapText="1"/>
    </xf>
    <xf numFmtId="0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4" fontId="19" fillId="3" borderId="0" xfId="0" applyNumberFormat="1" applyFont="1" applyFill="1" applyBorder="1" applyAlignment="1">
      <alignment/>
    </xf>
    <xf numFmtId="4" fontId="1" fillId="0" borderId="0" xfId="0" applyNumberFormat="1" applyFont="1" applyAlignment="1">
      <alignment wrapText="1"/>
    </xf>
    <xf numFmtId="4" fontId="18" fillId="0" borderId="0" xfId="0" applyNumberFormat="1" applyFont="1" applyAlignment="1">
      <alignment wrapText="1"/>
    </xf>
    <xf numFmtId="0" fontId="1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4" fontId="26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7" borderId="0" xfId="0" applyFont="1" applyFill="1" applyAlignment="1">
      <alignment horizontal="center"/>
    </xf>
    <xf numFmtId="0" fontId="0" fillId="0" borderId="0" xfId="0" applyAlignment="1">
      <alignment/>
    </xf>
    <xf numFmtId="0" fontId="21" fillId="5" borderId="0" xfId="0" applyFont="1" applyFill="1" applyAlignment="1">
      <alignment horizontal="center" wrapText="1"/>
    </xf>
    <xf numFmtId="0" fontId="3" fillId="8" borderId="0" xfId="0" applyFont="1" applyFill="1" applyAlignment="1">
      <alignment horizontal="center"/>
    </xf>
    <xf numFmtId="4" fontId="1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0" fontId="1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9" fillId="0" borderId="0" xfId="0" applyFont="1" applyAlignment="1">
      <alignment wrapText="1"/>
    </xf>
    <xf numFmtId="10" fontId="9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2" fillId="2" borderId="0" xfId="0" applyNumberFormat="1" applyFont="1" applyFill="1" applyBorder="1" applyAlignment="1">
      <alignment/>
    </xf>
    <xf numFmtId="4" fontId="3" fillId="4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/>
    </xf>
    <xf numFmtId="4" fontId="15" fillId="2" borderId="0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10" fontId="13" fillId="0" borderId="0" xfId="0" applyNumberFormat="1" applyFont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/>
    </xf>
    <xf numFmtId="4" fontId="19" fillId="0" borderId="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8"/>
  <sheetViews>
    <sheetView tabSelected="1" zoomScale="85" zoomScaleNormal="85" workbookViewId="0" topLeftCell="A1">
      <pane xSplit="1" ySplit="3" topLeftCell="U9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J100" sqref="AJ100"/>
    </sheetView>
  </sheetViews>
  <sheetFormatPr defaultColWidth="9.140625" defaultRowHeight="12.75"/>
  <cols>
    <col min="1" max="1" width="22.7109375" style="1" customWidth="1"/>
    <col min="2" max="2" width="11.00390625" style="2" hidden="1" customWidth="1"/>
    <col min="3" max="3" width="8.00390625" style="2" hidden="1" customWidth="1"/>
    <col min="4" max="4" width="9.8515625" style="2" hidden="1" customWidth="1"/>
    <col min="5" max="5" width="8.7109375" style="21" customWidth="1"/>
    <col min="6" max="7" width="8.8515625" style="14" customWidth="1"/>
    <col min="8" max="8" width="8.7109375" style="17" customWidth="1"/>
    <col min="9" max="9" width="8.7109375" style="135" customWidth="1"/>
    <col min="10" max="10" width="8.7109375" style="14" hidden="1" customWidth="1"/>
    <col min="11" max="11" width="11.00390625" style="14" customWidth="1"/>
    <col min="12" max="12" width="26.421875" style="12" hidden="1" customWidth="1"/>
    <col min="13" max="13" width="13.8515625" style="33" bestFit="1" customWidth="1"/>
    <col min="14" max="14" width="7.7109375" style="164" customWidth="1"/>
    <col min="15" max="15" width="11.28125" style="57" customWidth="1"/>
    <col min="16" max="16" width="23.28125" style="12" customWidth="1"/>
    <col min="17" max="18" width="10.7109375" style="2" hidden="1" customWidth="1"/>
    <col min="19" max="19" width="10.7109375" style="21" hidden="1" customWidth="1"/>
    <col min="20" max="20" width="10.7109375" style="21" customWidth="1"/>
    <col min="21" max="21" width="8.140625" style="14" customWidth="1"/>
    <col min="22" max="22" width="9.00390625" style="14" customWidth="1"/>
    <col min="23" max="23" width="8.7109375" style="14" customWidth="1"/>
    <col min="24" max="24" width="8.7109375" style="76" customWidth="1"/>
    <col min="25" max="25" width="8.7109375" style="21" hidden="1" customWidth="1"/>
    <col min="26" max="26" width="9.28125" style="14" customWidth="1"/>
    <col min="27" max="27" width="28.7109375" style="8" hidden="1" customWidth="1"/>
    <col min="28" max="28" width="13.7109375" style="47" bestFit="1" customWidth="1"/>
    <col min="29" max="29" width="9.421875" style="169" bestFit="1" customWidth="1"/>
    <col min="30" max="30" width="0" style="0" hidden="1" customWidth="1"/>
    <col min="31" max="31" width="12.7109375" style="102" customWidth="1"/>
    <col min="32" max="32" width="13.8515625" style="33" bestFit="1" customWidth="1"/>
    <col min="33" max="33" width="13.00390625" style="114" bestFit="1" customWidth="1"/>
    <col min="34" max="34" width="30.7109375" style="5" customWidth="1"/>
    <col min="35" max="35" width="13.8515625" style="54" bestFit="1" customWidth="1"/>
    <col min="36" max="36" width="13.7109375" style="287" bestFit="1" customWidth="1"/>
    <col min="37" max="37" width="12.8515625" style="246" bestFit="1" customWidth="1"/>
    <col min="38" max="38" width="14.57421875" style="283" bestFit="1" customWidth="1"/>
    <col min="39" max="39" width="5.7109375" style="283" customWidth="1"/>
  </cols>
  <sheetData>
    <row r="1" spans="1:39" ht="12.75">
      <c r="A1" s="146"/>
      <c r="B1" s="49" t="s">
        <v>39</v>
      </c>
      <c r="C1" s="51"/>
      <c r="D1" s="51"/>
      <c r="E1" s="273" t="s">
        <v>39</v>
      </c>
      <c r="F1" s="274"/>
      <c r="G1" s="274"/>
      <c r="H1" s="274"/>
      <c r="I1" s="274"/>
      <c r="J1" s="274"/>
      <c r="K1" s="274"/>
      <c r="L1" s="274"/>
      <c r="M1" s="274"/>
      <c r="N1" s="274"/>
      <c r="O1" s="56"/>
      <c r="P1" s="234">
        <f>3111/3111*(M21+M119-2264900)+3113/3113*(M24+(M101+M109+M118)*0-3766700*0)</f>
        <v>3345000</v>
      </c>
      <c r="Q1" s="49" t="s">
        <v>40</v>
      </c>
      <c r="R1" s="51"/>
      <c r="S1" s="51"/>
      <c r="T1" s="273" t="s">
        <v>40</v>
      </c>
      <c r="U1" s="274"/>
      <c r="V1" s="274"/>
      <c r="W1" s="274"/>
      <c r="X1" s="274"/>
      <c r="Y1" s="274"/>
      <c r="Z1" s="274"/>
      <c r="AA1" s="274"/>
      <c r="AB1" s="274"/>
      <c r="AC1" s="274"/>
      <c r="AD1" s="51"/>
      <c r="AE1" s="33"/>
      <c r="AF1" s="278" t="s">
        <v>78</v>
      </c>
      <c r="AG1" s="276"/>
      <c r="AH1" s="276"/>
      <c r="AI1" s="276"/>
      <c r="AJ1" s="275" t="s">
        <v>79</v>
      </c>
      <c r="AK1" s="281"/>
      <c r="AL1" s="281"/>
      <c r="AM1" s="281"/>
    </row>
    <row r="2" spans="1:37" ht="12.75" customHeight="1">
      <c r="A2" s="53"/>
      <c r="B2" s="49"/>
      <c r="C2" s="50"/>
      <c r="D2" s="50"/>
      <c r="E2" s="50"/>
      <c r="F2" s="277" t="s">
        <v>164</v>
      </c>
      <c r="G2" s="277"/>
      <c r="H2" s="277"/>
      <c r="I2" s="277"/>
      <c r="J2" s="277"/>
      <c r="K2" s="277"/>
      <c r="L2" s="51"/>
      <c r="M2" s="257" t="s">
        <v>189</v>
      </c>
      <c r="N2" s="258">
        <f>12/12</f>
        <v>1</v>
      </c>
      <c r="O2" s="56"/>
      <c r="P2" s="53">
        <f>M24+M25+M26+(M101+M109+M113+M114+M116+M118)-8242437.06</f>
        <v>0</v>
      </c>
      <c r="Q2" s="49"/>
      <c r="R2" s="49"/>
      <c r="S2" s="49"/>
      <c r="T2" s="49"/>
      <c r="U2" s="277" t="s">
        <v>164</v>
      </c>
      <c r="V2" s="277"/>
      <c r="W2" s="277"/>
      <c r="X2" s="277"/>
      <c r="Y2" s="277"/>
      <c r="Z2" s="277"/>
      <c r="AA2" s="51"/>
      <c r="AB2" s="257" t="s">
        <v>189</v>
      </c>
      <c r="AC2" s="258">
        <f>12/12</f>
        <v>1</v>
      </c>
      <c r="AD2" s="51"/>
      <c r="AE2" s="196"/>
      <c r="AF2" s="305"/>
      <c r="AG2" s="118"/>
      <c r="AH2" s="227"/>
      <c r="AI2" s="252"/>
      <c r="AJ2" s="282"/>
      <c r="AK2" s="300"/>
    </row>
    <row r="3" spans="1:39" s="74" customFormat="1" ht="45">
      <c r="A3" s="55"/>
      <c r="B3" s="41" t="s">
        <v>0</v>
      </c>
      <c r="C3" s="41" t="s">
        <v>1</v>
      </c>
      <c r="D3" s="41" t="s">
        <v>2</v>
      </c>
      <c r="E3" s="64" t="s">
        <v>52</v>
      </c>
      <c r="F3" s="71" t="s">
        <v>162</v>
      </c>
      <c r="G3" s="71" t="s">
        <v>163</v>
      </c>
      <c r="H3" s="71" t="s">
        <v>158</v>
      </c>
      <c r="I3" s="71" t="s">
        <v>191</v>
      </c>
      <c r="J3" s="41"/>
      <c r="K3" s="72" t="s">
        <v>73</v>
      </c>
      <c r="L3" s="42"/>
      <c r="M3" s="279" t="s">
        <v>190</v>
      </c>
      <c r="N3" s="280"/>
      <c r="O3" s="73"/>
      <c r="P3" s="33"/>
      <c r="Q3" s="41" t="s">
        <v>0</v>
      </c>
      <c r="R3" s="41" t="s">
        <v>1</v>
      </c>
      <c r="S3" s="41" t="s">
        <v>2</v>
      </c>
      <c r="T3" s="64" t="s">
        <v>52</v>
      </c>
      <c r="U3" s="71" t="s">
        <v>162</v>
      </c>
      <c r="V3" s="71" t="s">
        <v>163</v>
      </c>
      <c r="W3" s="71" t="s">
        <v>158</v>
      </c>
      <c r="X3" s="131" t="s">
        <v>158</v>
      </c>
      <c r="Y3" s="136" t="s">
        <v>72</v>
      </c>
      <c r="Z3" s="72" t="s">
        <v>73</v>
      </c>
      <c r="AA3" s="43"/>
      <c r="AB3" s="279" t="s">
        <v>190</v>
      </c>
      <c r="AC3" s="280"/>
      <c r="AF3" s="284" t="s">
        <v>188</v>
      </c>
      <c r="AG3" s="141" t="s">
        <v>269</v>
      </c>
      <c r="AH3" s="119" t="s">
        <v>94</v>
      </c>
      <c r="AI3" s="119" t="s">
        <v>93</v>
      </c>
      <c r="AJ3" s="284" t="s">
        <v>188</v>
      </c>
      <c r="AK3" s="301" t="s">
        <v>269</v>
      </c>
      <c r="AL3" s="285" t="s">
        <v>94</v>
      </c>
      <c r="AM3" s="285" t="s">
        <v>93</v>
      </c>
    </row>
    <row r="4" spans="1:39" s="74" customFormat="1" ht="12.75">
      <c r="A4" s="107" t="s">
        <v>170</v>
      </c>
      <c r="B4" s="2"/>
      <c r="C4" s="2"/>
      <c r="D4" s="2"/>
      <c r="E4" s="21"/>
      <c r="F4" s="14"/>
      <c r="G4" s="14"/>
      <c r="H4" s="17"/>
      <c r="I4" s="106">
        <v>30</v>
      </c>
      <c r="J4" s="14"/>
      <c r="K4" s="14">
        <f>SUM(E4:J4)</f>
        <v>30</v>
      </c>
      <c r="L4" s="12"/>
      <c r="M4" s="33">
        <f>9/9*6204*0+10/10*29964</f>
        <v>29964</v>
      </c>
      <c r="N4" s="229">
        <f>M4/(K4*1000)</f>
        <v>0.9988</v>
      </c>
      <c r="O4" s="73"/>
      <c r="P4" s="33"/>
      <c r="Q4" s="41"/>
      <c r="R4" s="41"/>
      <c r="S4" s="41"/>
      <c r="T4" s="64"/>
      <c r="U4" s="71"/>
      <c r="V4" s="71"/>
      <c r="W4" s="71"/>
      <c r="X4" s="131"/>
      <c r="Y4" s="136"/>
      <c r="Z4" s="72"/>
      <c r="AA4" s="43"/>
      <c r="AB4" s="190"/>
      <c r="AC4" s="189"/>
      <c r="AF4" s="33">
        <f>9/9*6204*0+10/10*29964</f>
        <v>29964</v>
      </c>
      <c r="AG4" s="201">
        <f>M4-AF4</f>
        <v>0</v>
      </c>
      <c r="AH4" s="208" t="s">
        <v>97</v>
      </c>
      <c r="AI4" s="204">
        <f>AG4-0</f>
        <v>0</v>
      </c>
      <c r="AJ4" s="284"/>
      <c r="AK4" s="301"/>
      <c r="AL4" s="285"/>
      <c r="AM4" s="285"/>
    </row>
    <row r="5" spans="1:39" s="74" customFormat="1" ht="12.75" hidden="1">
      <c r="A5" s="55"/>
      <c r="B5" s="41"/>
      <c r="C5" s="41"/>
      <c r="D5" s="41"/>
      <c r="E5" s="64"/>
      <c r="F5" s="71"/>
      <c r="G5" s="71"/>
      <c r="H5" s="71"/>
      <c r="I5" s="131"/>
      <c r="J5" s="41"/>
      <c r="K5" s="72"/>
      <c r="L5" s="42"/>
      <c r="M5" s="190"/>
      <c r="N5" s="189"/>
      <c r="O5" s="73"/>
      <c r="P5" s="33"/>
      <c r="Q5" s="41"/>
      <c r="R5" s="41"/>
      <c r="S5" s="41"/>
      <c r="T5" s="64"/>
      <c r="U5" s="71"/>
      <c r="V5" s="71"/>
      <c r="W5" s="71"/>
      <c r="X5" s="131"/>
      <c r="Y5" s="136"/>
      <c r="Z5" s="72"/>
      <c r="AA5" s="43"/>
      <c r="AB5" s="190"/>
      <c r="AC5" s="189"/>
      <c r="AF5" s="190"/>
      <c r="AG5" s="141"/>
      <c r="AH5" s="119"/>
      <c r="AI5" s="119"/>
      <c r="AJ5" s="284"/>
      <c r="AK5" s="301"/>
      <c r="AL5" s="285"/>
      <c r="AM5" s="285"/>
    </row>
    <row r="6" spans="1:39" s="74" customFormat="1" ht="12.75">
      <c r="A6" s="174" t="s">
        <v>171</v>
      </c>
      <c r="B6" s="175">
        <f aca="true" t="shared" si="0" ref="B6:I6">SUM(B4:B5)</f>
        <v>0</v>
      </c>
      <c r="C6" s="175">
        <f t="shared" si="0"/>
        <v>0</v>
      </c>
      <c r="D6" s="175">
        <f t="shared" si="0"/>
        <v>0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212">
        <f t="shared" si="0"/>
        <v>0</v>
      </c>
      <c r="I6" s="230">
        <f t="shared" si="0"/>
        <v>30</v>
      </c>
      <c r="J6" s="231"/>
      <c r="K6" s="231">
        <f>SUM(K4:K5)</f>
        <v>30</v>
      </c>
      <c r="L6" s="177"/>
      <c r="M6" s="226">
        <f>SUM(M4:M5)</f>
        <v>29964</v>
      </c>
      <c r="N6" s="165"/>
      <c r="O6" s="178">
        <f>2/2*38597.05-M6</f>
        <v>8633.050000000003</v>
      </c>
      <c r="P6" s="191">
        <f>K6-12/12*30+(M6-9/9*6204*0-10/10*29964)</f>
        <v>0</v>
      </c>
      <c r="Q6" s="175">
        <f aca="true" t="shared" si="1" ref="Q6:Z6">SUM(Q4:Q5)</f>
        <v>0</v>
      </c>
      <c r="R6" s="175">
        <f t="shared" si="1"/>
        <v>0</v>
      </c>
      <c r="S6" s="176">
        <f t="shared" si="1"/>
        <v>0</v>
      </c>
      <c r="T6" s="176">
        <f t="shared" si="1"/>
        <v>0</v>
      </c>
      <c r="U6" s="176">
        <f t="shared" si="1"/>
        <v>0</v>
      </c>
      <c r="V6" s="176">
        <f t="shared" si="1"/>
        <v>0</v>
      </c>
      <c r="W6" s="176">
        <f t="shared" si="1"/>
        <v>0</v>
      </c>
      <c r="X6" s="176">
        <f t="shared" si="1"/>
        <v>0</v>
      </c>
      <c r="Y6" s="176">
        <f t="shared" si="1"/>
        <v>0</v>
      </c>
      <c r="Z6" s="231">
        <f t="shared" si="1"/>
        <v>0</v>
      </c>
      <c r="AA6" s="99"/>
      <c r="AB6" s="248">
        <f>SUM(AB4:AB5)</f>
        <v>0</v>
      </c>
      <c r="AC6" s="165"/>
      <c r="AD6" s="179"/>
      <c r="AE6" s="191">
        <f>Z6-3/3*0+(AB6-3/3*0)</f>
        <v>0</v>
      </c>
      <c r="AF6" s="306">
        <f>SUM(AF4:AF5)</f>
        <v>29964</v>
      </c>
      <c r="AG6" s="248">
        <f>SUM(AG4:AG5)</f>
        <v>0</v>
      </c>
      <c r="AH6" s="198">
        <f>M6-AF6-AG6</f>
        <v>0</v>
      </c>
      <c r="AI6" s="180"/>
      <c r="AJ6" s="286">
        <f>SUM(AJ4:AJ5)</f>
        <v>0</v>
      </c>
      <c r="AK6" s="259">
        <f>SUM(AK4:AK5)</f>
        <v>0</v>
      </c>
      <c r="AL6" s="285"/>
      <c r="AM6" s="285"/>
    </row>
    <row r="7" spans="1:37" ht="12.75">
      <c r="A7" s="1" t="s">
        <v>3</v>
      </c>
      <c r="C7" s="2">
        <v>18</v>
      </c>
      <c r="D7" s="2">
        <v>17.7</v>
      </c>
      <c r="E7" s="21">
        <v>20</v>
      </c>
      <c r="H7" s="17">
        <f>2209/2209*90</f>
        <v>90</v>
      </c>
      <c r="I7" s="106">
        <v>281</v>
      </c>
      <c r="K7" s="81">
        <f aca="true" t="shared" si="2" ref="K7:K13">SUM(E7:J7)</f>
        <v>391</v>
      </c>
      <c r="M7" s="33">
        <f>4/4*5418*0+5/5*23040*0+6/6*13218*0+7/7*21171*0+10/10*391022</f>
        <v>391022</v>
      </c>
      <c r="N7" s="164">
        <f aca="true" t="shared" si="3" ref="N7:N15">M7/(K7*1000)</f>
        <v>1.0000562659846548</v>
      </c>
      <c r="S7" s="28"/>
      <c r="Y7" s="70"/>
      <c r="Z7" s="14">
        <f>SUM(T7:Y7)</f>
        <v>0</v>
      </c>
      <c r="AB7" s="33"/>
      <c r="AC7" s="164"/>
      <c r="AF7" s="33">
        <f>4/4*5418*0+5/5*23040*0+6/6*13218*0+7/7*21171*0+10/10*391022</f>
        <v>391022</v>
      </c>
      <c r="AG7" s="201">
        <f aca="true" t="shared" si="4" ref="AG7:AG13">M7-AF7</f>
        <v>0</v>
      </c>
      <c r="AH7" s="209" t="s">
        <v>97</v>
      </c>
      <c r="AI7" s="204">
        <f>AG7-0</f>
        <v>0</v>
      </c>
      <c r="AJ7" s="57"/>
      <c r="AK7" s="240">
        <f>AB7-AJ7</f>
        <v>0</v>
      </c>
    </row>
    <row r="8" spans="1:37" ht="12.75">
      <c r="A8" s="1" t="s">
        <v>137</v>
      </c>
      <c r="H8" s="106">
        <f>500*0*5/5*0+2209/2209*200</f>
        <v>200</v>
      </c>
      <c r="K8" s="14">
        <f t="shared" si="2"/>
        <v>200</v>
      </c>
      <c r="M8" s="33">
        <f>3/3*11760*0+4/4*29160+5/5*23040+9/9*32160</f>
        <v>84360</v>
      </c>
      <c r="N8" s="164">
        <f t="shared" si="3"/>
        <v>0.4218</v>
      </c>
      <c r="S8" s="28"/>
      <c r="Y8" s="70"/>
      <c r="AB8" s="33"/>
      <c r="AC8" s="164"/>
      <c r="AF8" s="33">
        <f>3/3*11760*0+4/4*29160+5/5*23040+9/9*32160</f>
        <v>84360</v>
      </c>
      <c r="AG8" s="201">
        <f t="shared" si="4"/>
        <v>0</v>
      </c>
      <c r="AH8" s="111"/>
      <c r="AI8" s="48"/>
      <c r="AJ8" s="57"/>
      <c r="AK8" s="240"/>
    </row>
    <row r="9" spans="1:37" ht="24">
      <c r="A9" s="1" t="s">
        <v>76</v>
      </c>
      <c r="G9" s="14">
        <v>2000</v>
      </c>
      <c r="H9" s="106">
        <f>-2000*0*5/5</f>
        <v>0</v>
      </c>
      <c r="I9" s="106">
        <f>-2000+305</f>
        <v>-1695</v>
      </c>
      <c r="J9" s="81"/>
      <c r="K9" s="81">
        <f t="shared" si="2"/>
        <v>305</v>
      </c>
      <c r="M9" s="53">
        <f>41083/41083*(3098291.8*0+11/11*3222351.6*0+12/12*3310951.6)+3639/3639*80080*0-M111</f>
        <v>310951.6000000001</v>
      </c>
      <c r="N9" s="164">
        <f t="shared" si="3"/>
        <v>1.019513442622951</v>
      </c>
      <c r="S9" s="28"/>
      <c r="Y9" s="70"/>
      <c r="AB9" s="33"/>
      <c r="AC9" s="164"/>
      <c r="AF9" s="33">
        <f>41083/41083*(3098291.8*0+11/11*3222351.6)+3639/3639*80080-AF111</f>
        <v>302431.6000000001</v>
      </c>
      <c r="AG9" s="53">
        <f t="shared" si="4"/>
        <v>8520</v>
      </c>
      <c r="AH9" s="145" t="s">
        <v>212</v>
      </c>
      <c r="AI9" s="55">
        <f>AG9-8520</f>
        <v>0</v>
      </c>
      <c r="AJ9" s="57"/>
      <c r="AK9" s="240">
        <f>AB9-AJ9</f>
        <v>0</v>
      </c>
    </row>
    <row r="10" spans="1:37" ht="12.75">
      <c r="A10" s="1" t="s">
        <v>139</v>
      </c>
      <c r="C10" s="2">
        <f>41+(5+7)+9</f>
        <v>62</v>
      </c>
      <c r="D10" s="2">
        <f>40.8+(5.2*0+12.4)+8.8</f>
        <v>62</v>
      </c>
      <c r="H10" s="106">
        <f>100*0*5/5</f>
        <v>0</v>
      </c>
      <c r="I10" s="106">
        <v>100</v>
      </c>
      <c r="J10" s="81"/>
      <c r="K10" s="81">
        <f t="shared" si="2"/>
        <v>100</v>
      </c>
      <c r="M10" s="33">
        <f>256/256*2/2*100280</f>
        <v>100280</v>
      </c>
      <c r="N10" s="229">
        <f t="shared" si="3"/>
        <v>1.0028</v>
      </c>
      <c r="S10" s="28"/>
      <c r="Y10" s="70"/>
      <c r="AB10" s="33"/>
      <c r="AC10" s="164"/>
      <c r="AF10" s="33">
        <f>256/256*2/2*100280</f>
        <v>100280</v>
      </c>
      <c r="AG10" s="201">
        <f t="shared" si="4"/>
        <v>0</v>
      </c>
      <c r="AJ10" s="57"/>
      <c r="AK10" s="240">
        <f>AB10-AJ10</f>
        <v>0</v>
      </c>
    </row>
    <row r="11" spans="1:37" ht="12" customHeight="1">
      <c r="A11" s="1" t="s">
        <v>140</v>
      </c>
      <c r="C11" s="2">
        <f>41+(5+7)+9</f>
        <v>62</v>
      </c>
      <c r="D11" s="2">
        <f>40.8+(5.2*0+12.4)+8.8</f>
        <v>62</v>
      </c>
      <c r="I11" s="106">
        <f>10+4</f>
        <v>14</v>
      </c>
      <c r="J11" s="81"/>
      <c r="K11" s="81">
        <f t="shared" si="2"/>
        <v>14</v>
      </c>
      <c r="M11" s="33">
        <f>2/2*4200*0+5/5*(9600+1022/1022*4200)</f>
        <v>13800</v>
      </c>
      <c r="N11" s="229">
        <f t="shared" si="3"/>
        <v>0.9857142857142858</v>
      </c>
      <c r="S11" s="28"/>
      <c r="Y11" s="70"/>
      <c r="AB11" s="33"/>
      <c r="AC11" s="164"/>
      <c r="AF11" s="33">
        <f>2/2*4200*0+5/5*(9600+1022/1022*4200)</f>
        <v>13800</v>
      </c>
      <c r="AG11" s="201">
        <f t="shared" si="4"/>
        <v>0</v>
      </c>
      <c r="AJ11" s="57"/>
      <c r="AK11" s="240"/>
    </row>
    <row r="12" spans="1:37" ht="12" customHeight="1">
      <c r="A12" s="97" t="s">
        <v>192</v>
      </c>
      <c r="I12" s="106">
        <v>400</v>
      </c>
      <c r="J12" s="81"/>
      <c r="K12" s="81">
        <f>SUM(E12:J12)</f>
        <v>400</v>
      </c>
      <c r="M12" s="53">
        <f>12/12*400000</f>
        <v>400000</v>
      </c>
      <c r="N12" s="229">
        <f t="shared" si="3"/>
        <v>1</v>
      </c>
      <c r="S12" s="28"/>
      <c r="Y12" s="70"/>
      <c r="AB12" s="33"/>
      <c r="AC12" s="164"/>
      <c r="AG12" s="53">
        <f>M12-AF12</f>
        <v>400000</v>
      </c>
      <c r="AH12" s="145" t="s">
        <v>216</v>
      </c>
      <c r="AI12" s="55">
        <f>AG12-400000</f>
        <v>0</v>
      </c>
      <c r="AJ12" s="57"/>
      <c r="AK12" s="240"/>
    </row>
    <row r="13" spans="1:37" ht="12.75">
      <c r="A13" s="1" t="s">
        <v>4</v>
      </c>
      <c r="C13" s="2">
        <v>90</v>
      </c>
      <c r="D13" s="2">
        <f>89.7</f>
        <v>89.7</v>
      </c>
      <c r="E13" s="21">
        <v>90</v>
      </c>
      <c r="I13" s="106">
        <f>77-80+24</f>
        <v>21</v>
      </c>
      <c r="K13" s="14">
        <f t="shared" si="2"/>
        <v>111</v>
      </c>
      <c r="M13" s="53">
        <f>5/5*176901.6*0+6/6*101541.6*0+9/9*111062.4*0+186422.4</f>
        <v>186422.4</v>
      </c>
      <c r="N13" s="164">
        <f t="shared" si="3"/>
        <v>1.679481081081081</v>
      </c>
      <c r="P13" s="182" t="s">
        <v>96</v>
      </c>
      <c r="S13" s="28"/>
      <c r="Y13" s="70"/>
      <c r="AB13" s="33"/>
      <c r="AC13" s="164"/>
      <c r="AF13" s="33">
        <f>5/5*176901.6*0+6/6*101541.6*0+9/9*111062.4</f>
        <v>111062.4</v>
      </c>
      <c r="AG13" s="53">
        <f t="shared" si="4"/>
        <v>75360</v>
      </c>
      <c r="AH13" s="145" t="s">
        <v>260</v>
      </c>
      <c r="AI13" s="55">
        <f>AG13-75360</f>
        <v>0</v>
      </c>
      <c r="AJ13" s="57"/>
      <c r="AK13" s="240">
        <f>AB13-AJ13</f>
        <v>0</v>
      </c>
    </row>
    <row r="14" spans="1:37" ht="12.75">
      <c r="A14" s="89" t="s">
        <v>133</v>
      </c>
      <c r="B14" s="3">
        <f aca="true" t="shared" si="5" ref="B14:I14">SUM(B7:B13)</f>
        <v>0</v>
      </c>
      <c r="C14" s="3">
        <f t="shared" si="5"/>
        <v>232</v>
      </c>
      <c r="D14" s="3">
        <f t="shared" si="5"/>
        <v>231.39999999999998</v>
      </c>
      <c r="E14" s="15">
        <f t="shared" si="5"/>
        <v>110</v>
      </c>
      <c r="F14" s="15">
        <f t="shared" si="5"/>
        <v>0</v>
      </c>
      <c r="G14" s="15">
        <f t="shared" si="5"/>
        <v>2000</v>
      </c>
      <c r="H14" s="84">
        <f t="shared" si="5"/>
        <v>290</v>
      </c>
      <c r="I14" s="84">
        <f t="shared" si="5"/>
        <v>-879</v>
      </c>
      <c r="J14" s="82"/>
      <c r="K14" s="82">
        <f>SUM(K7:K13)</f>
        <v>1521</v>
      </c>
      <c r="L14" s="85"/>
      <c r="M14" s="233">
        <f>SUM(M7:M13)</f>
        <v>1486836</v>
      </c>
      <c r="N14" s="165">
        <f t="shared" si="3"/>
        <v>0.9775384615384616</v>
      </c>
      <c r="O14" s="58">
        <f>2/2*104480-M14</f>
        <v>-1382356</v>
      </c>
      <c r="P14" s="228">
        <f>(K14+K105+K111-(3/3*6110+4/4*3000+5/5*(16/16*-2000+500+100)*0+9/9*(13612010/13612010)*(90+200)-9400*0)*0-12/12*8521)+(M14+M105+M111-3/3*916240*0-4/4*939058*0-5/5*1148599.6*0-6/6*2233023.2*0-7/7*3698008.2*0-8/8*4671565*0-9/9*5686942.8*0-10/10*6798816.2*0-11/11*7602956*0-12/12*8486836)</f>
        <v>0</v>
      </c>
      <c r="Q14" s="3">
        <f aca="true" t="shared" si="6" ref="Q14:Z14">SUM(Q7:Q13)</f>
        <v>0</v>
      </c>
      <c r="R14" s="3">
        <f t="shared" si="6"/>
        <v>0</v>
      </c>
      <c r="S14" s="15">
        <f t="shared" si="6"/>
        <v>0</v>
      </c>
      <c r="T14" s="15">
        <f t="shared" si="6"/>
        <v>0</v>
      </c>
      <c r="U14" s="15">
        <f t="shared" si="6"/>
        <v>0</v>
      </c>
      <c r="V14" s="15">
        <f t="shared" si="6"/>
        <v>0</v>
      </c>
      <c r="W14" s="15">
        <f t="shared" si="6"/>
        <v>0</v>
      </c>
      <c r="X14" s="132">
        <f t="shared" si="6"/>
        <v>0</v>
      </c>
      <c r="Y14" s="15">
        <f t="shared" si="6"/>
        <v>0</v>
      </c>
      <c r="Z14" s="82">
        <f t="shared" si="6"/>
        <v>0</v>
      </c>
      <c r="AA14" s="87"/>
      <c r="AB14" s="259">
        <f>SUM(AB7:AB13)</f>
        <v>0</v>
      </c>
      <c r="AC14" s="165"/>
      <c r="AE14" s="191">
        <f>Z14+Z105+Z111-3/3*4000*0-4/4*7000+AB14+AB105+AB111-3/3*4000000*0-5/5*7000000</f>
        <v>0</v>
      </c>
      <c r="AF14" s="217">
        <f>SUM(AF7:AF13)</f>
        <v>1002956.0000000001</v>
      </c>
      <c r="AG14" s="248">
        <f>SUM(AG7:AG13)</f>
        <v>483880</v>
      </c>
      <c r="AH14" s="198">
        <f>M14-AF14-AG14</f>
        <v>0</v>
      </c>
      <c r="AJ14" s="286">
        <f>SUM(AJ7:AJ13)</f>
        <v>0</v>
      </c>
      <c r="AK14" s="259">
        <f>SUM(AK7:AK13)</f>
        <v>0</v>
      </c>
    </row>
    <row r="15" spans="1:37" ht="34.5" customHeight="1">
      <c r="A15" s="1" t="s">
        <v>49</v>
      </c>
      <c r="B15" s="2">
        <f>480+20</f>
        <v>500</v>
      </c>
      <c r="C15" s="2">
        <f>426+93</f>
        <v>519</v>
      </c>
      <c r="D15" s="2">
        <f>(383.3+42.5)+93.5</f>
        <v>519.3</v>
      </c>
      <c r="E15" s="21">
        <f>500+100*0</f>
        <v>500</v>
      </c>
      <c r="H15" s="122">
        <f>200*0*5/5+7/7*99/99*421.9</f>
        <v>421.9</v>
      </c>
      <c r="I15" s="106">
        <v>115.1</v>
      </c>
      <c r="K15" s="14">
        <f>SUM(E15:J15)</f>
        <v>1037</v>
      </c>
      <c r="L15" s="13" t="s">
        <v>50</v>
      </c>
      <c r="M15" s="53">
        <f>95262.38*0+2/2*382709.18*0+3/3*424569.98*0+4/4*453228.38*0+5/5*529865.32*0+6/6*732172.92*0+7/7*953742.37*0+8/8*966306.37*0+9/9*992933.57*0+10/10*1035790.47*0+11/11*1036726.47*0+12/12*1183336.67</f>
        <v>1183336.67</v>
      </c>
      <c r="N15" s="164">
        <f t="shared" si="3"/>
        <v>1.141115400192864</v>
      </c>
      <c r="P15" s="13"/>
      <c r="Z15" s="14">
        <f>SUM(T15:Y15)</f>
        <v>0</v>
      </c>
      <c r="AF15" s="33">
        <f>95262.38*0+2/2*382709.18*0+3/3*424569.98*0+4/4*453228.38*0+5/5*529865.32*0+6/6*732172.92*0+7/7*953742.37*0+8/8*966306.37*0+9/9*992933.57*0+10/10*1035790.47*0+11/11*1036726.47</f>
        <v>1036726.47</v>
      </c>
      <c r="AG15" s="53">
        <f>M15-AF15</f>
        <v>146610.19999999995</v>
      </c>
      <c r="AH15" s="145" t="s">
        <v>259</v>
      </c>
      <c r="AI15" s="55">
        <f>AG15-936*2-42091.2-79548-74918-23541-(-75360)</f>
        <v>0</v>
      </c>
      <c r="AK15" s="240">
        <f>AB15-AJ15</f>
        <v>0</v>
      </c>
    </row>
    <row r="16" spans="1:37" ht="23.25">
      <c r="A16" s="1" t="s">
        <v>193</v>
      </c>
      <c r="I16" s="106">
        <v>18</v>
      </c>
      <c r="J16" s="81"/>
      <c r="K16" s="81">
        <f>SUM(E16:J16)</f>
        <v>18</v>
      </c>
      <c r="L16" s="13"/>
      <c r="M16" s="53">
        <f>3/3*17880+12/12*40958/40958*(5128370.95-84/84*5000000)</f>
        <v>146250.9500000002</v>
      </c>
      <c r="P16" s="13"/>
      <c r="AF16" s="33">
        <f>3/3*17880</f>
        <v>17880</v>
      </c>
      <c r="AG16" s="53">
        <f>M16-AF16</f>
        <v>128370.95000000019</v>
      </c>
      <c r="AH16" s="145" t="s">
        <v>215</v>
      </c>
      <c r="AI16" s="55">
        <f>AG16+AI115</f>
        <v>3.4924596548080444E-10</v>
      </c>
      <c r="AK16" s="240"/>
    </row>
    <row r="17" spans="1:37" ht="24">
      <c r="A17" s="107" t="s">
        <v>154</v>
      </c>
      <c r="H17" s="122">
        <f>7/7*99/99*155</f>
        <v>155</v>
      </c>
      <c r="K17" s="14">
        <f>SUM(E17:J17)</f>
        <v>155</v>
      </c>
      <c r="L17" s="13"/>
      <c r="M17" s="33">
        <f>6/6*152358</f>
        <v>152358</v>
      </c>
      <c r="P17" s="13"/>
      <c r="AF17" s="33">
        <f>6/6*152358</f>
        <v>152358</v>
      </c>
      <c r="AG17" s="201">
        <f>M17-AF17</f>
        <v>0</v>
      </c>
      <c r="AH17" s="111" t="s">
        <v>97</v>
      </c>
      <c r="AI17" s="55"/>
      <c r="AK17" s="240"/>
    </row>
    <row r="18" spans="1:37" ht="23.25">
      <c r="A18" s="1" t="s">
        <v>141</v>
      </c>
      <c r="E18" s="21">
        <f>500*0+100</f>
        <v>100</v>
      </c>
      <c r="K18" s="14">
        <f>SUM(E18:J18)</f>
        <v>100</v>
      </c>
      <c r="L18" s="13" t="s">
        <v>51</v>
      </c>
      <c r="M18" s="53">
        <f>(2653+473)*0+2/2*(5329+950)*0+7/7*23920*0+10/10*38408*0+11/11*69644*0+12/12*113084+3/3*(8474/8474*(1427*0+4/4*1918*0+5/5*2400*0+6/6*2882*0+7/7*3364*0+8/8*3846*0+9/9*4328*0+10/10*4810*0+11/11*5292*0+12/12*5774)+1028233/1028233*8005*0+4/4*10761*0+5/5*13463*0+6/6*16165*0+7/7*18867*0+8/8*21569*0+9/9*24271*0+10/10*26973*0+11/11*29675)+12/12*8233/8233*2702</f>
        <v>151235</v>
      </c>
      <c r="N18" s="164">
        <f>M18/(K18*1000)</f>
        <v>1.51235</v>
      </c>
      <c r="P18" s="13"/>
      <c r="Z18" s="14">
        <f>SUM(T18:Y18)</f>
        <v>0</v>
      </c>
      <c r="AF18" s="33">
        <f>(2653+473)*0+2/2*(5329+950)*0+7/7*23920*0+10/10*38408*0+11/11*69644+3/3*(8474/8474*(1427*0+4/4*1918*0+5/5*2400*0+6/6*2882*0+7/7*3364*0+8/8*3846*0+9/9*4328*0+10/10*4810*0+11/11*5292)+1028233/1028233*8005*0+4/4*10761*0+5/5*13463*0+6/6*16165*0+7/7*18867*0+8/8*21569*0+9/9*24271*0+10/10*26973*0+11/11*29675)</f>
        <v>104611</v>
      </c>
      <c r="AG18" s="53">
        <f>M18-AF18</f>
        <v>46624</v>
      </c>
      <c r="AH18" s="245" t="s">
        <v>263</v>
      </c>
      <c r="AI18" s="246">
        <f>AG18-2702-482+(-17856-29959)*0-43440</f>
        <v>0</v>
      </c>
      <c r="AK18" s="240">
        <f>AB18-AJ18</f>
        <v>0</v>
      </c>
    </row>
    <row r="19" spans="1:37" ht="12.75">
      <c r="A19" s="90" t="s">
        <v>4</v>
      </c>
      <c r="C19" s="2">
        <v>90</v>
      </c>
      <c r="D19" s="2">
        <f>89.7</f>
        <v>89.7</v>
      </c>
      <c r="E19" s="76">
        <f>90*0</f>
        <v>0</v>
      </c>
      <c r="K19" s="76">
        <f>SUM(E19:J19)</f>
        <v>0</v>
      </c>
      <c r="P19" s="182" t="s">
        <v>95</v>
      </c>
      <c r="Z19" s="14">
        <f>SUM(T19:Y19)</f>
        <v>0</v>
      </c>
      <c r="AG19" s="201">
        <f>M19-AF19</f>
        <v>0</v>
      </c>
      <c r="AH19" s="101"/>
      <c r="AK19" s="240">
        <f>AB19-AJ19</f>
        <v>0</v>
      </c>
    </row>
    <row r="20" spans="1:37" ht="12.75">
      <c r="A20" s="89" t="s">
        <v>134</v>
      </c>
      <c r="B20" s="3">
        <f aca="true" t="shared" si="7" ref="B20:I20">SUM(B15:B19)</f>
        <v>500</v>
      </c>
      <c r="C20" s="3">
        <f t="shared" si="7"/>
        <v>609</v>
      </c>
      <c r="D20" s="3">
        <f t="shared" si="7"/>
        <v>609</v>
      </c>
      <c r="E20" s="15">
        <f t="shared" si="7"/>
        <v>600</v>
      </c>
      <c r="F20" s="15">
        <f t="shared" si="7"/>
        <v>0</v>
      </c>
      <c r="G20" s="15">
        <f t="shared" si="7"/>
        <v>0</v>
      </c>
      <c r="H20" s="213">
        <f t="shared" si="7"/>
        <v>576.9</v>
      </c>
      <c r="I20" s="84">
        <f t="shared" si="7"/>
        <v>133.1</v>
      </c>
      <c r="J20" s="82"/>
      <c r="K20" s="82">
        <f>SUM(K15:K19)</f>
        <v>1310</v>
      </c>
      <c r="L20" s="85"/>
      <c r="M20" s="233">
        <f>SUM(M15:M19)</f>
        <v>1633180.62</v>
      </c>
      <c r="N20" s="165">
        <f aca="true" t="shared" si="8" ref="N20:N28">M20/(K20*1000)</f>
        <v>1.2467027633587786</v>
      </c>
      <c r="O20" s="58">
        <f>2/2*388988.18-M20</f>
        <v>-1244192.4400000002</v>
      </c>
      <c r="P20" s="228">
        <f>(K20+6/6*K115-(3/3*600+5/5*16/16*200*0+6/6*5000+7/7*99/99*(421.9+155)+12/12*(115.1+18)-6176.9*0-12/12*6310*0))+(M20+M115-3/3*451881.98*0-4/4*483787.38*0-5/5*563608.32*0-6/6*921457.92*0-7/7*1179731.37*0-8/8*1195479.37*0-9/9*2244509.02*0-10/10*4442345.25*0-11/11*4477701.25*0-12/12*6633180.62)</f>
        <v>0</v>
      </c>
      <c r="Q20" s="3">
        <f aca="true" t="shared" si="9" ref="Q20:Y20">SUM(Q15:Q19)</f>
        <v>0</v>
      </c>
      <c r="R20" s="3">
        <f t="shared" si="9"/>
        <v>0</v>
      </c>
      <c r="S20" s="15">
        <f t="shared" si="9"/>
        <v>0</v>
      </c>
      <c r="T20" s="15">
        <f t="shared" si="9"/>
        <v>0</v>
      </c>
      <c r="U20" s="15">
        <f t="shared" si="9"/>
        <v>0</v>
      </c>
      <c r="V20" s="15">
        <f t="shared" si="9"/>
        <v>0</v>
      </c>
      <c r="W20" s="15">
        <f t="shared" si="9"/>
        <v>0</v>
      </c>
      <c r="X20" s="132">
        <f t="shared" si="9"/>
        <v>0</v>
      </c>
      <c r="Y20" s="15">
        <f t="shared" si="9"/>
        <v>0</v>
      </c>
      <c r="Z20" s="82">
        <f>SUM(Z15:Z19)</f>
        <v>0</v>
      </c>
      <c r="AA20" s="87"/>
      <c r="AB20" s="259">
        <f>SUM(AB15:AB19)</f>
        <v>0</v>
      </c>
      <c r="AC20" s="260"/>
      <c r="AD20" s="261"/>
      <c r="AE20" s="262">
        <f>Z20+Z115-3/3*0-6/6*5000+(AB20+AB115-3/3*0-6/6*0-7/7*5000000)</f>
        <v>0</v>
      </c>
      <c r="AF20" s="217">
        <f>SUM(AF15:AF19)</f>
        <v>1311575.47</v>
      </c>
      <c r="AG20" s="248">
        <f>SUM(AG15:AG19)</f>
        <v>321605.15000000014</v>
      </c>
      <c r="AH20" s="198">
        <f>M20-AF20-AG20</f>
        <v>0</v>
      </c>
      <c r="AJ20" s="286">
        <f>SUM(AJ15:AJ19)</f>
        <v>0</v>
      </c>
      <c r="AK20" s="259">
        <f>SUM(AK15:AK19)</f>
        <v>0</v>
      </c>
    </row>
    <row r="21" spans="1:39" ht="12.75">
      <c r="A21" s="1" t="s">
        <v>5</v>
      </c>
      <c r="B21" s="2">
        <v>1500</v>
      </c>
      <c r="C21" s="2">
        <v>1523</v>
      </c>
      <c r="D21" s="2">
        <v>1523.4</v>
      </c>
      <c r="E21" s="37">
        <f>1505*1.05-0.25</f>
        <v>1580</v>
      </c>
      <c r="F21" s="194"/>
      <c r="G21" s="16"/>
      <c r="H21" s="16">
        <f>35+928-963*0</f>
        <v>963</v>
      </c>
      <c r="I21" s="16">
        <f>35+928-963</f>
        <v>0</v>
      </c>
      <c r="J21" s="16"/>
      <c r="K21" s="14">
        <f>SUM(E21:J21)</f>
        <v>2543</v>
      </c>
      <c r="L21" s="10" t="s">
        <v>26</v>
      </c>
      <c r="M21" s="234">
        <f>2/2*264000*0+3/3*396000+5/5*264000+6/6*(130000+1100/1100*498*0)+9/9*390000+12/12*(400000+1376/1376*35000+1413/1413*578000)</f>
        <v>2193000</v>
      </c>
      <c r="N21" s="164">
        <f t="shared" si="8"/>
        <v>0.8623672827369249</v>
      </c>
      <c r="P21" s="183" t="s">
        <v>99</v>
      </c>
      <c r="Q21" s="2">
        <v>343</v>
      </c>
      <c r="R21" s="2">
        <v>348</v>
      </c>
      <c r="S21" s="21">
        <v>348</v>
      </c>
      <c r="T21" s="37">
        <f>250*1397/1000+0.75</f>
        <v>350</v>
      </c>
      <c r="U21" s="16"/>
      <c r="V21" s="16"/>
      <c r="W21" s="16"/>
      <c r="X21" s="16"/>
      <c r="Y21" s="37"/>
      <c r="Z21" s="14">
        <f>SUM(T21:Y21)</f>
        <v>350</v>
      </c>
      <c r="AA21" s="18" t="s">
        <v>41</v>
      </c>
      <c r="AB21" s="264">
        <f>T21*1000*12/12-166.666666667*12*0</f>
        <v>350000</v>
      </c>
      <c r="AC21" s="164">
        <f>AB21/(Z21*1000)</f>
        <v>1</v>
      </c>
      <c r="AE21" s="63">
        <f>AB21-Z21*1000</f>
        <v>0</v>
      </c>
      <c r="AF21" s="113">
        <f>2/2*264000*0+3/3*396000+5/5*264000+6/6*(130000+1100/1100*498*0)+9/9*390000</f>
        <v>1180000</v>
      </c>
      <c r="AG21" s="53">
        <f>M21-AF21</f>
        <v>1013000</v>
      </c>
      <c r="AH21" s="145" t="s">
        <v>218</v>
      </c>
      <c r="AI21" s="55">
        <f>AG21-400000-35000-578000</f>
        <v>0</v>
      </c>
      <c r="AJ21" s="287">
        <f>Z21*1000*11/12-166.666666667*11</f>
        <v>318999.99999999633</v>
      </c>
      <c r="AK21" s="240">
        <f>AB21-AJ21</f>
        <v>31000.000000003667</v>
      </c>
      <c r="AL21" s="283" t="s">
        <v>92</v>
      </c>
      <c r="AM21" s="283">
        <f>AK21/(Z21*1000)*12</f>
        <v>1.0628571428572684</v>
      </c>
    </row>
    <row r="22" spans="1:37" ht="12.75">
      <c r="A22" s="35" t="s">
        <v>80</v>
      </c>
      <c r="E22" s="37"/>
      <c r="F22" s="16"/>
      <c r="G22" s="16"/>
      <c r="H22" s="37">
        <f>90*0</f>
        <v>0</v>
      </c>
      <c r="I22" s="194">
        <f>30+162</f>
        <v>192</v>
      </c>
      <c r="J22" s="16"/>
      <c r="K22" s="26">
        <f>SUM(E22:J22)</f>
        <v>192</v>
      </c>
      <c r="L22" s="10"/>
      <c r="M22" s="234">
        <f>2/2*69084*0+4/4*89854*0+5/5*(100406*0+6/6*1100/1100*498+9/9*64696*0)+10/10*(26027+12/12*146444+11/11*-19708*0-1368/1368*18000*0)</f>
        <v>172969</v>
      </c>
      <c r="N22" s="229">
        <f t="shared" si="8"/>
        <v>0.9008802083333334</v>
      </c>
      <c r="P22" s="53">
        <f>760406*0+6/6*(939406*0+10/10*1371129*0+11/11*1351421*0+12/12*(1824371+35000+578000+41082/41082*(256079.56+991009.44))+1368/1368*(102000*0+10/10*2980063)+1100/1100*498)-SUM(M21:M22,M23,M119)</f>
        <v>0</v>
      </c>
      <c r="T22" s="37"/>
      <c r="U22" s="16"/>
      <c r="V22" s="16"/>
      <c r="W22" s="16"/>
      <c r="X22" s="16"/>
      <c r="Y22" s="37"/>
      <c r="AA22" s="18"/>
      <c r="AB22" s="264"/>
      <c r="AC22" s="164"/>
      <c r="AF22" s="113">
        <f>2/2*69084*0+4/4*89854*0+5/5*100406+6/6*1100/1100*498+9/9*64696+10/10*(26027+11/11*-19708-1368/1368*18000*0)</f>
        <v>171919</v>
      </c>
      <c r="AG22" s="53">
        <f>M22-AF22</f>
        <v>1050</v>
      </c>
      <c r="AH22" s="145" t="s">
        <v>213</v>
      </c>
      <c r="AI22" s="55">
        <f>AG22-1050</f>
        <v>0</v>
      </c>
      <c r="AK22" s="240">
        <f>AB22-AJ22</f>
        <v>0</v>
      </c>
    </row>
    <row r="23" spans="1:37" ht="24">
      <c r="A23" s="110" t="s">
        <v>194</v>
      </c>
      <c r="E23" s="37"/>
      <c r="F23" s="16"/>
      <c r="G23" s="16"/>
      <c r="H23" s="120">
        <f>99/99*3002</f>
        <v>3002</v>
      </c>
      <c r="I23" s="16"/>
      <c r="J23" s="16"/>
      <c r="K23" s="14">
        <f>SUM(E23:J23)</f>
        <v>3002</v>
      </c>
      <c r="L23" s="10"/>
      <c r="M23" s="234">
        <f>6/6*(49000*0+1368/1368*102000)*0+7/7*111600*0+8/8*1287424.8*0+9/9*2980063+12/12*(256079.56+99/99*991009.44)+10/10*18000*(0+3113/3113*0)</f>
        <v>4227152</v>
      </c>
      <c r="N23" s="229">
        <f t="shared" si="8"/>
        <v>1.408111925383078</v>
      </c>
      <c r="P23" s="192">
        <f>1580+3002+9/9*(35+928)+6000+12/12*192-SUM(K21:K23,K112)</f>
        <v>4.000000080850441E-05</v>
      </c>
      <c r="T23" s="37"/>
      <c r="U23" s="16"/>
      <c r="V23" s="16"/>
      <c r="W23" s="16"/>
      <c r="X23" s="16"/>
      <c r="Y23" s="37"/>
      <c r="AA23" s="18"/>
      <c r="AB23" s="264"/>
      <c r="AC23" s="164"/>
      <c r="AF23" s="113">
        <f>6/6*(49000*0+1368/1368*102000)*0+7/7*111600*0+8/8*1287424.8*0+9/9*2980063+10/10*18000*(0+3113/3113*0)</f>
        <v>2980063</v>
      </c>
      <c r="AG23" s="53">
        <f aca="true" t="shared" si="10" ref="AG23:AG30">M23-AF23</f>
        <v>1247089</v>
      </c>
      <c r="AH23" s="145" t="s">
        <v>214</v>
      </c>
      <c r="AI23" s="55">
        <f>AG23+AI112</f>
        <v>0</v>
      </c>
      <c r="AK23" s="240"/>
    </row>
    <row r="24" spans="1:39" ht="24">
      <c r="A24" s="1" t="s">
        <v>77</v>
      </c>
      <c r="B24" s="2">
        <v>3085</v>
      </c>
      <c r="C24" s="2">
        <v>3318</v>
      </c>
      <c r="D24" s="2">
        <v>3317.6</v>
      </c>
      <c r="E24" s="37">
        <f>3096*1.05-0.8+500</f>
        <v>3750</v>
      </c>
      <c r="F24" s="16"/>
      <c r="G24" s="17">
        <f>3/3*80+1606/1606*10</f>
        <v>90</v>
      </c>
      <c r="H24" s="135"/>
      <c r="I24" s="194">
        <v>-500</v>
      </c>
      <c r="J24" s="16"/>
      <c r="K24" s="14">
        <f aca="true" t="shared" si="11" ref="K24:K52">SUM(E24:J24)</f>
        <v>3340</v>
      </c>
      <c r="L24" s="11" t="s">
        <v>47</v>
      </c>
      <c r="M24" s="234">
        <f>2/2*625000*0+3/3*937500*0+5/5*1562500+6/6*(312500+2326/2326*10000)+9/9*302500+10/10*937500+12/12*215000+1336/1336*5000</f>
        <v>3345000</v>
      </c>
      <c r="N24" s="164">
        <f t="shared" si="8"/>
        <v>1.001497005988024</v>
      </c>
      <c r="P24" s="183" t="s">
        <v>99</v>
      </c>
      <c r="Q24" s="2">
        <v>733</v>
      </c>
      <c r="R24" s="2">
        <v>744</v>
      </c>
      <c r="S24" s="21">
        <v>744</v>
      </c>
      <c r="T24" s="37">
        <f>537*1397/1000-0.189</f>
        <v>750</v>
      </c>
      <c r="U24" s="16"/>
      <c r="V24" s="16"/>
      <c r="W24" s="16"/>
      <c r="X24" s="16"/>
      <c r="Y24" s="37"/>
      <c r="Z24" s="14">
        <f aca="true" t="shared" si="12" ref="Z24:Z30">SUM(T24:Y24)</f>
        <v>750</v>
      </c>
      <c r="AA24" s="18" t="s">
        <v>42</v>
      </c>
      <c r="AB24" s="264">
        <f>T24*1000*12/12+500*12*0</f>
        <v>750000</v>
      </c>
      <c r="AC24" s="164">
        <f>AB24/(Z24*1000)</f>
        <v>1</v>
      </c>
      <c r="AE24" s="63">
        <f>AB24-Z24*1000</f>
        <v>0</v>
      </c>
      <c r="AF24" s="113">
        <f>2/2*625000*0+3/3*937500*0+5/5*1562500+6/6*(312500+10000)+9/9*302500+10/10*937500</f>
        <v>3125000</v>
      </c>
      <c r="AG24" s="53">
        <f t="shared" si="10"/>
        <v>220000</v>
      </c>
      <c r="AH24" s="145" t="s">
        <v>222</v>
      </c>
      <c r="AI24" s="55">
        <f>AG24-625000-5000-80000+500000+420000*0</f>
        <v>10000</v>
      </c>
      <c r="AJ24" s="287">
        <f>Z24*1000*11/12+500*11</f>
        <v>693000</v>
      </c>
      <c r="AK24" s="240">
        <f aca="true" t="shared" si="13" ref="AK24:AK30">AB24-AJ24</f>
        <v>57000</v>
      </c>
      <c r="AL24" s="283" t="s">
        <v>92</v>
      </c>
      <c r="AM24" s="283">
        <f>AK24/(Z24*1000)*12</f>
        <v>0.9119999999999999</v>
      </c>
    </row>
    <row r="25" spans="1:39" s="40" customFormat="1" ht="23.25">
      <c r="A25" s="35" t="s">
        <v>153</v>
      </c>
      <c r="B25" s="36"/>
      <c r="C25" s="36"/>
      <c r="D25" s="36"/>
      <c r="E25" s="37"/>
      <c r="F25" s="37"/>
      <c r="G25" s="37"/>
      <c r="H25" s="120">
        <f>62*0+310*0+99/99*(160+76)+2209/2209*(470+495)*0</f>
        <v>236</v>
      </c>
      <c r="I25" s="194">
        <f>(656-H25)*0+12/12*(641+52)</f>
        <v>693</v>
      </c>
      <c r="J25" s="37"/>
      <c r="K25" s="14">
        <f t="shared" si="11"/>
        <v>929</v>
      </c>
      <c r="L25" s="38"/>
      <c r="M25" s="234">
        <f>127837.17*0+2/2*658734*0+3/3*1097009.44*0+4/4*1309672.42*0+5/5*(2341037.47*0+6/6*(2747128.52*0+7/7*(2823839.57*0+8/8*4008625.87*0+9/9*(4876076.92*0+10/10*6027064.83*0+11/11*5273602.91*0+12/12*(5991055.46+10000+5000)+102/102*(100495*0+10/10*248532))+3113/3113*(640583*0*6121/6121+12/12*62880))+232610/232610*10000*0*5331/5331+10/10*1368/1368*18000+12/12*11122011/11122011*93600)-M24-M101-M109-M116-12/12*M118+(-M113-M114)*0)</f>
        <v>2312367.46</v>
      </c>
      <c r="N25" s="229">
        <f t="shared" si="8"/>
        <v>2.4890930678148546</v>
      </c>
      <c r="O25" s="57"/>
      <c r="P25" s="33">
        <f>2341037.47*0+6/6*(2747128.52+232610/232610*10000+41144/41144*4800+41145/41145*23669.6)-SUM(M24:M25,M101,M109,M113:M114)</f>
        <v>-4131369.34</v>
      </c>
      <c r="Q25" s="36"/>
      <c r="R25" s="36"/>
      <c r="S25" s="21"/>
      <c r="T25" s="37"/>
      <c r="U25" s="37"/>
      <c r="V25" s="37"/>
      <c r="W25" s="37"/>
      <c r="X25" s="16"/>
      <c r="Y25" s="37"/>
      <c r="Z25" s="14">
        <f t="shared" si="12"/>
        <v>0</v>
      </c>
      <c r="AA25" s="39"/>
      <c r="AB25" s="47"/>
      <c r="AC25" s="169"/>
      <c r="AE25" s="102"/>
      <c r="AF25" s="113">
        <f>127837.17*0+2/2*658734*0+3/3*1097009.44*0+4/4*1309672.42*0+5/5*(2341037.47*0+6/6*(2747128.52*0+7/7*(2823839.57*0+8/8*4008625.87*0+9/9*(4876076.92*0+10/10*6027064.83*0+11/11*5273602.91+102/102*(100495*0+10/10*248532))+3113/3113*640583)+232610/232610*10000+10/10*1368/1368*18000)-AF24-AF101-AF109-AF113*0-AF114*0-AF116)</f>
        <v>2456117.91</v>
      </c>
      <c r="AG25" s="53">
        <f t="shared" si="10"/>
        <v>-143750.4500000002</v>
      </c>
      <c r="AH25" s="245" t="s">
        <v>264</v>
      </c>
      <c r="AI25" s="55">
        <f>AG25*0+11/11*((5362.95-176500-0-41078.63+697567.2-28371-27131+4*76711.05+5151/5151*17669)+(9/9*(-(60495+132000-AG116)-(197339-151299)-(1317496.34-1158585.29)-18000-232610/232610*10000)*0+10/10*(5152/5152*(-12825.96*0-10131.87+32900-155500)-102/102*148037-62880-5154/5154*146080))*0-900.8)*0+12/12*(5154/5154*5151/5151*(315367.64+4000)+5152/5152*78854.79-217500)-61/61*93600-5171/5171*57179-29943.43</f>
        <v>0</v>
      </c>
      <c r="AJ25" s="287"/>
      <c r="AK25" s="240">
        <f t="shared" si="13"/>
        <v>0</v>
      </c>
      <c r="AL25" s="283"/>
      <c r="AM25" s="283"/>
    </row>
    <row r="26" spans="1:39" s="40" customFormat="1" ht="24">
      <c r="A26" s="110" t="s">
        <v>172</v>
      </c>
      <c r="B26" s="36"/>
      <c r="C26" s="36"/>
      <c r="D26" s="36"/>
      <c r="E26" s="37"/>
      <c r="F26" s="37"/>
      <c r="G26" s="37"/>
      <c r="H26" s="135">
        <f>2209/2209*((694.335+0.665)-200-495*5/5*9/9*0+(1268.837+1.163)-800-470*5/5*9/9*0)</f>
        <v>965</v>
      </c>
      <c r="I26" s="135"/>
      <c r="J26" s="37"/>
      <c r="K26" s="76">
        <f>SUM(E26:J26)</f>
        <v>965</v>
      </c>
      <c r="L26" s="11"/>
      <c r="M26" s="113">
        <f>9/9*(41144/41144*(607921-200000)+41145/41145*(1205448.6-800000))</f>
        <v>813369.6000000001</v>
      </c>
      <c r="N26" s="229">
        <f t="shared" si="8"/>
        <v>0.8428700518134716</v>
      </c>
      <c r="O26" s="57"/>
      <c r="P26" s="53">
        <f>M27+M24+M21</f>
        <v>6588000</v>
      </c>
      <c r="Q26" s="36"/>
      <c r="R26" s="36"/>
      <c r="S26" s="21"/>
      <c r="T26" s="37"/>
      <c r="U26" s="37"/>
      <c r="V26" s="37"/>
      <c r="W26" s="37"/>
      <c r="X26" s="16"/>
      <c r="Y26" s="37"/>
      <c r="Z26" s="14"/>
      <c r="AA26" s="39"/>
      <c r="AB26" s="47"/>
      <c r="AC26" s="169"/>
      <c r="AE26" s="102"/>
      <c r="AF26" s="113">
        <f>9/9*(41144/41144*(607921-200000)+41145/41145*(1205448.6-800000))</f>
        <v>813369.6000000001</v>
      </c>
      <c r="AG26" s="53">
        <f t="shared" si="10"/>
        <v>0</v>
      </c>
      <c r="AH26" s="55"/>
      <c r="AI26" s="55">
        <f>AG26-(1775540-AG113-AG114)*0</f>
        <v>0</v>
      </c>
      <c r="AJ26" s="287"/>
      <c r="AK26" s="240"/>
      <c r="AL26" s="283"/>
      <c r="AM26" s="283"/>
    </row>
    <row r="27" spans="1:37" ht="12.75">
      <c r="A27" s="1" t="s">
        <v>6</v>
      </c>
      <c r="B27" s="2">
        <v>1000</v>
      </c>
      <c r="C27" s="2">
        <v>1165</v>
      </c>
      <c r="D27" s="2">
        <v>1165.9</v>
      </c>
      <c r="E27" s="37">
        <f>1000*1.05</f>
        <v>1050</v>
      </c>
      <c r="F27" s="16"/>
      <c r="G27" s="16"/>
      <c r="H27" s="16"/>
      <c r="I27" s="16"/>
      <c r="J27" s="16"/>
      <c r="K27" s="14">
        <f t="shared" si="11"/>
        <v>1050</v>
      </c>
      <c r="L27" s="11" t="s">
        <v>27</v>
      </c>
      <c r="M27" s="234">
        <f>2/2*175000*0+3/3*262500+5/5*175000+6/6*87500+9/9*260000+12/12*265000</f>
        <v>1050000</v>
      </c>
      <c r="N27" s="164">
        <f t="shared" si="8"/>
        <v>1</v>
      </c>
      <c r="P27" s="192">
        <f>4325.6+10+200+800+12/12*(693-500)-SUM(K24:K25,K101,K109,K113:K114)</f>
        <v>0</v>
      </c>
      <c r="T27" s="27"/>
      <c r="U27" s="16"/>
      <c r="V27" s="16"/>
      <c r="W27" s="16"/>
      <c r="X27" s="16"/>
      <c r="Y27" s="37"/>
      <c r="Z27" s="14">
        <f t="shared" si="12"/>
        <v>0</v>
      </c>
      <c r="AF27" s="113">
        <f>2/2*175000*0+3/3*262500+5/5*175000+6/6*87500+9/9*260000</f>
        <v>785000</v>
      </c>
      <c r="AG27" s="53">
        <f t="shared" si="10"/>
        <v>265000</v>
      </c>
      <c r="AH27" s="145" t="s">
        <v>219</v>
      </c>
      <c r="AI27" s="55">
        <f>AG27-265000</f>
        <v>0</v>
      </c>
      <c r="AK27" s="240">
        <f t="shared" si="13"/>
        <v>0</v>
      </c>
    </row>
    <row r="28" spans="1:37" ht="12.75">
      <c r="A28" s="35" t="s">
        <v>54</v>
      </c>
      <c r="B28" s="36"/>
      <c r="C28" s="36"/>
      <c r="D28" s="36"/>
      <c r="E28" s="37"/>
      <c r="F28" s="37"/>
      <c r="G28" s="37"/>
      <c r="H28" s="37"/>
      <c r="I28" s="194">
        <v>110</v>
      </c>
      <c r="J28" s="37"/>
      <c r="K28" s="14">
        <f t="shared" si="11"/>
        <v>110</v>
      </c>
      <c r="L28" s="38"/>
      <c r="M28" s="234">
        <f>-6202.27*0+2/2*175000*0+3/3*288039.64*0+5/5*478616.39*0+6/6*581693.14*0+7/7*597269.89*0+8/8*612846.64*0+9/9*998328.39*0+10/10*1103543.47*0+11/11*1056813.22*0+12/12*(699004.18-1050000*0)-M27</f>
        <v>-350995.81999999995</v>
      </c>
      <c r="N28" s="229">
        <f t="shared" si="8"/>
        <v>-3.1908710909090905</v>
      </c>
      <c r="P28" s="234">
        <f>581693.14*0+12/12*699004.18-(M27+M28)</f>
        <v>0</v>
      </c>
      <c r="T28" s="27"/>
      <c r="U28" s="37"/>
      <c r="V28" s="37"/>
      <c r="W28" s="37"/>
      <c r="X28" s="16"/>
      <c r="Y28" s="37"/>
      <c r="Z28" s="14">
        <f t="shared" si="12"/>
        <v>0</v>
      </c>
      <c r="AF28" s="113">
        <f>-6202.27*0+2/2*175000*0+3/3*288039.64*0+5/5*478616.39*0+6/6*581693.14*0+7/7*597269.89*0+8/8*612846.64*0+9/9*998328.39*0+10/10*1103543.47*0+11/11*1056813.22-AF27</f>
        <v>271813.22</v>
      </c>
      <c r="AG28" s="53">
        <f t="shared" si="10"/>
        <v>-622809.0399999999</v>
      </c>
      <c r="AH28" s="145" t="s">
        <v>262</v>
      </c>
      <c r="AI28" s="55">
        <f>AG28+471065.36+151743.68</f>
        <v>0</v>
      </c>
      <c r="AK28" s="240">
        <f t="shared" si="13"/>
        <v>0</v>
      </c>
    </row>
    <row r="29" spans="1:37" ht="12.75">
      <c r="A29" s="1" t="s">
        <v>53</v>
      </c>
      <c r="E29" s="37"/>
      <c r="F29" s="16"/>
      <c r="G29" s="16"/>
      <c r="H29" s="16"/>
      <c r="I29" s="16"/>
      <c r="J29" s="16"/>
      <c r="K29" s="14">
        <f t="shared" si="11"/>
        <v>0</v>
      </c>
      <c r="L29" s="11"/>
      <c r="M29" s="113">
        <f>-8499.23*0*2/2+3/3*34998.04*0+4/4*77236.32*0+5/5*34998.04*0+10/10*157833.23*0+11/11*52497.06</f>
        <v>52497.06</v>
      </c>
      <c r="P29" s="113">
        <f>51/51*(5000+154782+355908.59+82266+75682.98-673639.57*0)+61/61*(15600+3113/3113*640583-656183*0)</f>
        <v>1329822.57</v>
      </c>
      <c r="T29" s="27"/>
      <c r="U29" s="16"/>
      <c r="V29" s="16"/>
      <c r="W29" s="16"/>
      <c r="X29" s="16"/>
      <c r="Y29" s="37"/>
      <c r="Z29" s="14">
        <f t="shared" si="12"/>
        <v>0</v>
      </c>
      <c r="AF29" s="113">
        <f>-8499.23*0*2/2+3/3*34998.04*0+4/4*77236.32*0+5/5*34998.04*0+10/10*157833.23*0+11/11*52497.06</f>
        <v>52497.06</v>
      </c>
      <c r="AG29" s="53">
        <f t="shared" si="10"/>
        <v>0</v>
      </c>
      <c r="AH29" s="145" t="s">
        <v>97</v>
      </c>
      <c r="AI29" s="55">
        <f>AG29-0</f>
        <v>0</v>
      </c>
      <c r="AK29" s="240">
        <f t="shared" si="13"/>
        <v>0</v>
      </c>
    </row>
    <row r="30" spans="1:37" ht="12.75">
      <c r="A30" s="1" t="s">
        <v>7</v>
      </c>
      <c r="C30" s="2">
        <v>140</v>
      </c>
      <c r="D30" s="2">
        <v>140</v>
      </c>
      <c r="E30" s="27"/>
      <c r="I30" s="194">
        <v>5</v>
      </c>
      <c r="K30" s="14">
        <f t="shared" si="11"/>
        <v>5</v>
      </c>
      <c r="M30" s="234">
        <f>9/9*861.6*0+10/10*5241.6+12/12*60/60*4929</f>
        <v>10170.6</v>
      </c>
      <c r="N30" s="229">
        <f>M30/(K30*1000)</f>
        <v>2.03412</v>
      </c>
      <c r="P30" s="53">
        <f>M27+M28</f>
        <v>699004.18</v>
      </c>
      <c r="T30" s="27"/>
      <c r="Y30" s="27"/>
      <c r="Z30" s="14">
        <f t="shared" si="12"/>
        <v>0</v>
      </c>
      <c r="AF30" s="113">
        <f>9/9*861.6*0+10/10*5241.6</f>
        <v>5241.6</v>
      </c>
      <c r="AG30" s="53">
        <f t="shared" si="10"/>
        <v>4929</v>
      </c>
      <c r="AH30" s="55" t="s">
        <v>220</v>
      </c>
      <c r="AI30" s="55">
        <f>AG30-4929</f>
        <v>0</v>
      </c>
      <c r="AK30" s="240">
        <f t="shared" si="13"/>
        <v>0</v>
      </c>
    </row>
    <row r="31" spans="1:37" ht="12.75">
      <c r="A31" s="89" t="s">
        <v>132</v>
      </c>
      <c r="B31" s="3">
        <f aca="true" t="shared" si="14" ref="B31:I31">SUM(B21:B30)</f>
        <v>5585</v>
      </c>
      <c r="C31" s="3">
        <f t="shared" si="14"/>
        <v>6146</v>
      </c>
      <c r="D31" s="3">
        <f t="shared" si="14"/>
        <v>6146.9</v>
      </c>
      <c r="E31" s="15">
        <f t="shared" si="14"/>
        <v>6380</v>
      </c>
      <c r="F31" s="15">
        <f t="shared" si="14"/>
        <v>0</v>
      </c>
      <c r="G31" s="15">
        <f t="shared" si="14"/>
        <v>90</v>
      </c>
      <c r="H31" s="66">
        <f t="shared" si="14"/>
        <v>5166</v>
      </c>
      <c r="I31" s="84">
        <f t="shared" si="14"/>
        <v>500</v>
      </c>
      <c r="J31" s="82"/>
      <c r="K31" s="82">
        <f>SUM(K21:K30)</f>
        <v>12136</v>
      </c>
      <c r="L31" s="85"/>
      <c r="M31" s="233">
        <f>SUM(M21:M30)</f>
        <v>13825529.9</v>
      </c>
      <c r="N31" s="165">
        <f>M31/(K31*1000)</f>
        <v>1.1392163727752143</v>
      </c>
      <c r="O31" s="58">
        <f>2/2*1166818-M31</f>
        <v>-12658711.9</v>
      </c>
      <c r="P31" s="228">
        <f>(K31+K109+4/4*(K101+K112+K113+K114+K116+K118+K119)-3/3*6559*0-4/4*13719.6*0-7/7*16967.6*0-9/9*19479.6*0-12/12*19979.6)+(M31+M109+5/5*(M101+(M112)+(M113+M114)+M116+M118+M119)-3/3*1885131.12*0-4/4*2160802.38*0-5/5*3615057.9*0-6/6*4444193.3*0-7/7*5229384.1*0-8/8*7889241.95*0-9/9*12937805.55*0-10/10*14515095.73*0-11/11*16102351.39*0-12/12*21669129.9)</f>
        <v>-3.9999998989515007E-05</v>
      </c>
      <c r="Q31" s="3">
        <f aca="true" t="shared" si="15" ref="Q31:Y31">SUM(Q21:Q30)</f>
        <v>1076</v>
      </c>
      <c r="R31" s="3">
        <f t="shared" si="15"/>
        <v>1092</v>
      </c>
      <c r="S31" s="15">
        <f t="shared" si="15"/>
        <v>1092</v>
      </c>
      <c r="T31" s="15">
        <f t="shared" si="15"/>
        <v>1100</v>
      </c>
      <c r="U31" s="15">
        <f t="shared" si="15"/>
        <v>0</v>
      </c>
      <c r="V31" s="15">
        <f t="shared" si="15"/>
        <v>0</v>
      </c>
      <c r="W31" s="15">
        <f t="shared" si="15"/>
        <v>0</v>
      </c>
      <c r="X31" s="132">
        <f t="shared" si="15"/>
        <v>0</v>
      </c>
      <c r="Y31" s="15">
        <f t="shared" si="15"/>
        <v>0</v>
      </c>
      <c r="Z31" s="82">
        <f>SUM(Z21:Z30)</f>
        <v>1100</v>
      </c>
      <c r="AA31" s="87"/>
      <c r="AB31" s="259">
        <f>SUM(AB21:AB30)</f>
        <v>1100000</v>
      </c>
      <c r="AC31" s="165">
        <f>AB31/(Z31*1000)</f>
        <v>1</v>
      </c>
      <c r="AE31" s="238">
        <f>(Z31-(T21+T24)+Z109+4/4*(Z101+Z112+Z113+Z114)+9/9*(Z116+Z118+Z119)-3/3*99*0-4/4*7259.6*0-9/9*7843.6)*0+(AB31-(AB21+AB24)+AB109+4/4*(AB101+AB112+AB113+AB114)+9/9*(AB116+AB118+AB119)-3/3*99000*0-4/4*259600*0-5/5*7259600*0-9/9*7843600)</f>
        <v>0</v>
      </c>
      <c r="AF31" s="217">
        <f>SUM(AF21:AF30)</f>
        <v>11841021.39</v>
      </c>
      <c r="AG31" s="248">
        <f>SUM(AG21:AG30)</f>
        <v>1984508.5099999998</v>
      </c>
      <c r="AH31" s="198">
        <f>M31-AF31-AG31</f>
        <v>0</v>
      </c>
      <c r="AI31" s="112"/>
      <c r="AJ31" s="286">
        <f>SUM(AJ21:AJ30)</f>
        <v>1011999.9999999963</v>
      </c>
      <c r="AK31" s="259">
        <f>SUM(AK21:AK30)</f>
        <v>88000.00000000367</v>
      </c>
    </row>
    <row r="32" spans="1:37" ht="12.75">
      <c r="A32" s="1" t="s">
        <v>60</v>
      </c>
      <c r="B32" s="2">
        <f>120+100</f>
        <v>220</v>
      </c>
      <c r="C32" s="31">
        <f>120+100+(254+577)</f>
        <v>1051</v>
      </c>
      <c r="D32" s="2">
        <f>373.6+677.1</f>
        <v>1050.7</v>
      </c>
      <c r="E32" s="21">
        <f>100+100*0</f>
        <v>100</v>
      </c>
      <c r="H32" s="106">
        <f>30*(0*5/5+2209/2209)</f>
        <v>30</v>
      </c>
      <c r="I32" s="194">
        <f>30-10-12+7+13</f>
        <v>28</v>
      </c>
      <c r="K32" s="81">
        <f t="shared" si="11"/>
        <v>158</v>
      </c>
      <c r="L32" s="13" t="s">
        <v>61</v>
      </c>
      <c r="M32" s="53">
        <f>6857.87*0+2/2*8732.47*0+3/3*26290.81*0+4/4*44123.35*0+5/5*52020.48*0+6/6*59747.96*0+7/7*124120*0+8/8*132041.48*0+9/9*142494.96*0+10/10*150303.44*0+11/11*166651.68*0+12/12*179462.68</f>
        <v>179462.68</v>
      </c>
      <c r="N32" s="164">
        <f aca="true" t="shared" si="16" ref="N32:N49">M32/(K32*1000)</f>
        <v>1.135839746835443</v>
      </c>
      <c r="P32" s="13">
        <f>162.1+71.9+350+963+965</f>
        <v>2512</v>
      </c>
      <c r="Z32" s="14">
        <f aca="true" t="shared" si="17" ref="Z32:Z40">SUM(T32:Y32)</f>
        <v>0</v>
      </c>
      <c r="AF32" s="33">
        <f>6857.87*0+2/2*8732.47*0+3/3*26290.81*0+4/4*44123.35*0+5/5*52020.48*0+6/6*59747.96*0+7/7*124120*0+8/8*132041.48*0+9/9*142494.96*0+10/10*150303.44*0+11/11*166651.68</f>
        <v>166651.68</v>
      </c>
      <c r="AG32" s="53">
        <f aca="true" t="shared" si="18" ref="AG32:AG40">M32-AF32</f>
        <v>12811</v>
      </c>
      <c r="AH32" s="145" t="s">
        <v>97</v>
      </c>
      <c r="AI32" s="246">
        <f>AG32*0-11/11*((((47886.68-32665.44)*0+(6655.48+35187.68-26621.92))+(17627.5-16500.5))+(-9/9*10/10*6655.48-(456/456*3*6655.48)*0-9055*0-(16500.5-15347.5)*0)*0)*0-12/12*(18739.5-6921)</f>
        <v>-11818.5</v>
      </c>
      <c r="AK32" s="240">
        <f aca="true" t="shared" si="19" ref="AK32:AK40">AB32-AJ32</f>
        <v>0</v>
      </c>
    </row>
    <row r="33" spans="1:37" ht="12.75">
      <c r="A33" s="1" t="s">
        <v>89</v>
      </c>
      <c r="B33" s="2">
        <f>120+100</f>
        <v>220</v>
      </c>
      <c r="C33" s="31">
        <f>120+100+(254+577)</f>
        <v>1051</v>
      </c>
      <c r="D33" s="2">
        <f>373.6+677.1</f>
        <v>1050.7</v>
      </c>
      <c r="E33" s="21">
        <f>100*0+100</f>
        <v>100</v>
      </c>
      <c r="H33" s="106">
        <f>66*0*5/5</f>
        <v>0</v>
      </c>
      <c r="I33" s="194">
        <f>46+30-20+201+20+27+22</f>
        <v>326</v>
      </c>
      <c r="K33" s="81">
        <f t="shared" si="11"/>
        <v>426</v>
      </c>
      <c r="L33" s="13" t="s">
        <v>59</v>
      </c>
      <c r="M33" s="53">
        <f>6979.35*0+2/2*32434.61*0+3/3*120963.59*0+4/4*93476.39*0+5/5*143871.74*0+6/6*199162.09*0+7/7*216488.39*0+8/8*257610.74*0+9/9*341082.09*0+10/10*384060.44*0+11/11*476640.71*0+12/12*531240.71</f>
        <v>531240.71</v>
      </c>
      <c r="N33" s="164">
        <f t="shared" si="16"/>
        <v>1.2470439201877934</v>
      </c>
      <c r="P33" s="192">
        <f>(189398*0+9/9*239538*0+10/10*266565*0+11/11*292822*0+12/12*320317-M34)/12</f>
        <v>0</v>
      </c>
      <c r="Z33" s="14">
        <f t="shared" si="17"/>
        <v>0</v>
      </c>
      <c r="AF33" s="33">
        <f>6979.35*0+2/2*32434.61*0+3/3*120963.59*0+4/4*93476.39*0+5/5*143871.74*0+6/6*199162.09*0+7/7*216488.39*0+8/8*257610.74*0+9/9*341082.09*0+10/10*384060.44*0+11/11*476640.71</f>
        <v>476640.71</v>
      </c>
      <c r="AG33" s="53">
        <f t="shared" si="18"/>
        <v>54599.99999999994</v>
      </c>
      <c r="AH33" s="245" t="s">
        <v>265</v>
      </c>
      <c r="AI33" s="55">
        <f>AG33-11/11*(((12178-11803)+((291138.32-201898.05)*0+(206301.32-156081.4+39020.35))+(45234.89-42269.89))-((5/5*6/6*39020.35-456/456*117061.05)*0-8/8*39020.35*9/9*10/10-(25105.89-23003.89)*0-19479*0-(11803-10625-9724*0)-(950-318)*0-(42269.89-39489.89))*0)*0-12/12*(44130)</f>
        <v>10469.999999999942</v>
      </c>
      <c r="AK33" s="240">
        <f t="shared" si="19"/>
        <v>0</v>
      </c>
    </row>
    <row r="34" spans="1:37" ht="12.75">
      <c r="A34" s="1" t="s">
        <v>8</v>
      </c>
      <c r="B34" s="2">
        <v>350</v>
      </c>
      <c r="C34" s="2">
        <v>350</v>
      </c>
      <c r="D34" s="2">
        <v>351.2</v>
      </c>
      <c r="E34" s="37">
        <f>12*121*(12*20)/1000+1.52</f>
        <v>350</v>
      </c>
      <c r="F34" s="16"/>
      <c r="G34" s="16"/>
      <c r="H34" s="16"/>
      <c r="I34" s="16"/>
      <c r="J34" s="16"/>
      <c r="K34" s="14">
        <f t="shared" si="11"/>
        <v>350</v>
      </c>
      <c r="L34" s="11" t="s">
        <v>28</v>
      </c>
      <c r="M34" s="234">
        <f>(23316/12-1943+1943*12)*0+2/2*51024/12*0+(1943+2309+3/3*2218+4/4*2527+5/5*2286+6/6*2232+7/7*2268)*12+7/7*2+8/8*(2007*12+2)+9/9*(2171*12+2)+10/10*(2252*12+3)+11/11*(2188*12+1)+12/12*(2291*12+1+2)</f>
        <v>320317</v>
      </c>
      <c r="N34" s="164">
        <f t="shared" si="16"/>
        <v>0.9151914285714285</v>
      </c>
      <c r="P34" s="239">
        <f>(77640*0+4/4*107964*0+5/5*135396*0+9/9*239538*0+10/10*266565*0+11/11*292822*0+12/12*320317-M34)/12</f>
        <v>0</v>
      </c>
      <c r="U34" s="16"/>
      <c r="V34" s="16"/>
      <c r="W34" s="16"/>
      <c r="X34" s="16"/>
      <c r="Y34" s="37"/>
      <c r="Z34" s="14">
        <f t="shared" si="17"/>
        <v>0</v>
      </c>
      <c r="AF34" s="113">
        <f>(23316/12-1943+1943*12)*0+2/2*51024/12*0+(1943+2309+3/3*2218+4/4*2527+5/5*2286+6/6*2232+7/7*2268)*12+7/7*2+8/8*(2007*12+2)+9/9*(2171*12+2)+10/10*(2252*12+3)+11/11*(2188*12+1)</f>
        <v>292822</v>
      </c>
      <c r="AG34" s="53">
        <f t="shared" si="18"/>
        <v>27495</v>
      </c>
      <c r="AH34" s="245" t="s">
        <v>232</v>
      </c>
      <c r="AI34" s="253">
        <f>((AG34-2*1.5*0-1*0-(2+1))/12-1282-1009)+12/12*((15386-2+12109-1)/12)*0-(2+1)*0</f>
        <v>0</v>
      </c>
      <c r="AK34" s="240">
        <f t="shared" si="19"/>
        <v>0</v>
      </c>
    </row>
    <row r="35" spans="1:37" ht="23.25">
      <c r="A35" s="123" t="s">
        <v>156</v>
      </c>
      <c r="E35" s="120"/>
      <c r="F35" s="120"/>
      <c r="G35" s="120"/>
      <c r="H35" s="120">
        <f>7/7*99/99*1400</f>
        <v>1400</v>
      </c>
      <c r="I35" s="16"/>
      <c r="J35" s="120"/>
      <c r="K35" s="121">
        <f>SUM(E35:J35)</f>
        <v>1400</v>
      </c>
      <c r="L35" s="124" t="s">
        <v>28</v>
      </c>
      <c r="M35" s="234">
        <f>8/8*9600*0+11/11*133753*0+12/12*1271616</f>
        <v>1271616</v>
      </c>
      <c r="N35" s="164">
        <f>M35/(K35*1000)</f>
        <v>0.9082971428571428</v>
      </c>
      <c r="P35" s="188">
        <f>114-55-39.3</f>
        <v>19.700000000000003</v>
      </c>
      <c r="U35" s="16"/>
      <c r="V35" s="16"/>
      <c r="W35" s="16"/>
      <c r="X35" s="16"/>
      <c r="Y35" s="37"/>
      <c r="AF35" s="113">
        <f>8/8*9600*0+11/11*133753</f>
        <v>133753</v>
      </c>
      <c r="AG35" s="53">
        <f t="shared" si="18"/>
        <v>1137863</v>
      </c>
      <c r="AH35" s="145" t="s">
        <v>253</v>
      </c>
      <c r="AI35" s="55">
        <f>AG35-1137863</f>
        <v>0</v>
      </c>
      <c r="AK35" s="240"/>
    </row>
    <row r="36" spans="1:37" ht="33.75">
      <c r="A36" s="1" t="s">
        <v>165</v>
      </c>
      <c r="B36" s="2">
        <v>2330</v>
      </c>
      <c r="C36" s="31">
        <f>2410-301</f>
        <v>2109</v>
      </c>
      <c r="D36" s="2">
        <v>1697.6</v>
      </c>
      <c r="E36" s="37">
        <f>2330-1432+1548</f>
        <v>2446</v>
      </c>
      <c r="F36" s="16"/>
      <c r="G36" s="16"/>
      <c r="H36" s="122">
        <f>-1260*0*5/5+7/7*99/99*134</f>
        <v>134</v>
      </c>
      <c r="I36" s="194">
        <f>-450-116-38-20-41-35</f>
        <v>-700</v>
      </c>
      <c r="J36" s="16"/>
      <c r="K36" s="106">
        <f t="shared" si="11"/>
        <v>1880</v>
      </c>
      <c r="L36" s="11" t="s">
        <v>29</v>
      </c>
      <c r="M36" s="234">
        <f>26404.65*0+2/2*190984.75*0+3/3*468140.99*0+4/4*722345.11*0+5/5*950888.79*0+6/6*1084576.98*0+7/7*1378150.96*0+8/8*(1546577.97+33927)*0+9/9*1816936.53*0+10/10*(2111037.4*0+11/11*2345998.67*0+12/12*2618554.3-81/81*(115950*0+12/12*224000)-13305/13305*M98)+9021/9021*(599.55*0+2/2*598.54*0+3/3*605.28*0*4/4*0+9/9*594*0+10/10*0)+43512/43512*(36*0+2/2*3788*0+3/3*7540*0+4/4*69*0+5/5*3821*0+6/6*7573*0+7/7*105*0+8/8*3857*0+9/9*7609*0+10/10*11394*0+11/11*3890*0+12/12*138)+8/8*(3/3)*16393.3</f>
        <v>1151085.5999999999</v>
      </c>
      <c r="N36" s="164">
        <f t="shared" si="16"/>
        <v>0.612279574468085</v>
      </c>
      <c r="P36" s="38">
        <f>(162180-135396-107964*0)/12</f>
        <v>2232</v>
      </c>
      <c r="Q36" s="65">
        <v>480</v>
      </c>
      <c r="R36" s="65">
        <v>480</v>
      </c>
      <c r="S36" s="22">
        <v>480</v>
      </c>
      <c r="T36" s="37">
        <f>480*1.05-4</f>
        <v>500</v>
      </c>
      <c r="U36" s="16"/>
      <c r="V36" s="16"/>
      <c r="W36" s="16"/>
      <c r="X36" s="194">
        <v>-60</v>
      </c>
      <c r="Y36" s="37"/>
      <c r="Z36" s="81">
        <f t="shared" si="17"/>
        <v>440</v>
      </c>
      <c r="AA36" s="19" t="s">
        <v>43</v>
      </c>
      <c r="AB36" s="55">
        <f>34775+2/2*38086+3/3*35001+4/4*48518+5/5*37972+6/6*35643+7/7*37061+8/8*32115+9/9*35940+10/10*36304+11/11*33386+12/12*35126</f>
        <v>439927</v>
      </c>
      <c r="AC36" s="164">
        <f>AB36/(Z36*1000)</f>
        <v>0.9998340909090909</v>
      </c>
      <c r="AF36" s="113">
        <f>26404.65*0+2/2*190984.75*0+3/3*468140.99*0+4/4*722345.11*0+5/5*950888.79*0+6/6*1084576.98*0+7/7*1378150.96*0+8/8*(1546577.97+33927)*0+9/9*1816936.53*0+10/10*(2111037.4*0+11/11*2345998.67-81/81*115950-13305/13305*AF98)+9021/9021*(599.55*0+2/2*598.54*0+3/3*605.28*0*4/4*0+9/9*594*0+10/10*0)+43512/43512*(36*0+2/2*3788*0+3/3*7540*0+4/4*69*0+5/5*3821*0+6/6*7573*0+7/7*105*0+8/8*3857*0+9/9*7609*0+10/10*11394*0+11/11*3890)+8/8*(3/3)*16393.3</f>
        <v>1305331.97</v>
      </c>
      <c r="AG36" s="53">
        <f t="shared" si="18"/>
        <v>-154246.3700000001</v>
      </c>
      <c r="AH36" s="245" t="s">
        <v>261</v>
      </c>
      <c r="AI36" s="252">
        <f>AG36+((-(750387+193256+72224-604539-156794-59101)-(7836-5346)-(11766-7579)-(46230.92-41452.9)-(584-324)-(5350-4650)-(13589-9689)-(3724-3274))-(127063.75-120512.5)+(3752-11256))*0-12/12*(((18204+5694)+3600-71/71*27498*0+7538)-9021/9021*((8400+756+2100)+(49434+4460+12349))+(1658319-1484637+418966-375506+153066-137474)+71/71*(31222-3724)+23/23*6551.25-81/81*118050-315000+54483.38)</f>
        <v>0</v>
      </c>
      <c r="AJ36" s="287">
        <f>34775+2/2*38086+3/3*35001+4/4*48518+5/5*37972+6/6*35643+7/7*37061+8/8*32115+9/9*35940+10/10*36304+11/11*33386</f>
        <v>404801</v>
      </c>
      <c r="AK36" s="240">
        <f t="shared" si="19"/>
        <v>35126</v>
      </c>
    </row>
    <row r="37" spans="1:38" ht="12.75">
      <c r="A37" s="1" t="s">
        <v>9</v>
      </c>
      <c r="C37" s="2">
        <v>63</v>
      </c>
      <c r="D37" s="2">
        <v>62.6</v>
      </c>
      <c r="E37" s="68">
        <v>50</v>
      </c>
      <c r="F37" s="17"/>
      <c r="G37" s="17"/>
      <c r="I37" s="16"/>
      <c r="J37" s="17"/>
      <c r="K37" s="17">
        <f t="shared" si="11"/>
        <v>50</v>
      </c>
      <c r="M37" s="53">
        <f>3712*0+2/2*8188*0+3/3*13124*0+4/4*17748*0+5/5*21648*0+6/6*25158*0+7/7*28706*0+8/8*32066*0+9/9*35678*0+10/10*39096*0+11/11*42702*0+12/12*46158</f>
        <v>46158</v>
      </c>
      <c r="N37" s="164">
        <f t="shared" si="16"/>
        <v>0.92316</v>
      </c>
      <c r="P37" s="80" t="s">
        <v>100</v>
      </c>
      <c r="Q37" s="65"/>
      <c r="R37" s="65"/>
      <c r="S37" s="22"/>
      <c r="T37" s="68"/>
      <c r="U37" s="17"/>
      <c r="V37" s="17"/>
      <c r="W37" s="17"/>
      <c r="X37" s="135"/>
      <c r="Y37" s="68"/>
      <c r="Z37" s="14">
        <f t="shared" si="17"/>
        <v>0</v>
      </c>
      <c r="AB37" s="55">
        <f>(-69+1873)*0+2/2*(71/71*9431+82/82*1855+85/85*17479-28765)+3/3*(71/71*1431+85/85*-4431+3000)+4/4*(71/71*5481+85/85*-555-4926)+5/5*(71/71*1431+85/85*-1032-399)+6/6*(71/71*1431-85/85*4180+2749)+7/7*(71/71*1431+85/85*-3895)*0+8/8*(71/71*-569+85/85*-5546+95/95*2000)*9/9*10/10*0+11/11*(71/71*-569+85/85*-5517+95/95*2000)*0+12/12*(71/71*-569+85/85*-7346)</f>
        <v>-7915</v>
      </c>
      <c r="AF37" s="33">
        <f>3712*0+2/2*8188*0+3/3*13124*0+4/4*17748*0+5/5*21648*0+6/6*25158*0+7/7*28706*0+8/8*32066*0+9/9*35678*0+10/10*39096*0+11/11*42702</f>
        <v>42702</v>
      </c>
      <c r="AG37" s="53">
        <f t="shared" si="18"/>
        <v>3456</v>
      </c>
      <c r="AH37" s="55" t="s">
        <v>230</v>
      </c>
      <c r="AI37" s="55">
        <f>AG37-(12/12*46158-11/11*42702-39096*0-35678*0)</f>
        <v>0</v>
      </c>
      <c r="AJ37" s="287">
        <f>(-69+1873)*0+2/2*(71/71*9431+82/82*1855+85/85*17479-28765)+3/3*(71/71*1431+85/85*-4431+3000)+4/4*(71/71*5481+85/85*-555-4926)+5/5*(71/71*1431+85/85*-1032-399)+6/6*(71/71*1431-85/85*4180+2749)+7/7*(71/71*1431+85/85*-3895)*0+8/8*(71/71*-569+85/85*-5546+95/95*2000)*9/9*10/10*0+11/11*(71/71*-569+85/85*-5517+95/95*2000)</f>
        <v>-4086</v>
      </c>
      <c r="AK37" s="240">
        <f t="shared" si="19"/>
        <v>-3829</v>
      </c>
      <c r="AL37" s="283" t="s">
        <v>169</v>
      </c>
    </row>
    <row r="38" spans="1:37" ht="12.75">
      <c r="A38" s="1" t="s">
        <v>10</v>
      </c>
      <c r="C38" s="2">
        <f>8+34</f>
        <v>42</v>
      </c>
      <c r="D38" s="2">
        <f>7.7+33.7</f>
        <v>41.400000000000006</v>
      </c>
      <c r="E38" s="68">
        <v>30</v>
      </c>
      <c r="F38" s="17"/>
      <c r="G38" s="17"/>
      <c r="H38" s="17">
        <f>2209/2209*(50+14+11+2)</f>
        <v>77</v>
      </c>
      <c r="I38" s="16"/>
      <c r="J38" s="17"/>
      <c r="K38" s="17">
        <f t="shared" si="11"/>
        <v>107</v>
      </c>
      <c r="M38" s="53">
        <f>307*0+2/2*433*0+3/3*2003*0+4/4*3188*0+5/5*12124*0+6/6*(12373*0+7/7*12420*0+9/9*16921*0+10/10*18470*0+11/11*18938*0+12/12*27510+70810/70810*(14060*0+7/7*29100*0+8/8*41710*0+9/9*45765*0+12/12*30230))</f>
        <v>57740</v>
      </c>
      <c r="N38" s="164">
        <f t="shared" si="16"/>
        <v>0.5396261682242991</v>
      </c>
      <c r="Q38" s="65"/>
      <c r="R38" s="65"/>
      <c r="S38" s="22"/>
      <c r="T38" s="68"/>
      <c r="U38" s="17"/>
      <c r="V38" s="17"/>
      <c r="W38" s="17"/>
      <c r="X38" s="135"/>
      <c r="Y38" s="68"/>
      <c r="Z38" s="14">
        <f t="shared" si="17"/>
        <v>0</v>
      </c>
      <c r="AF38" s="33">
        <f>307*0+2/2*433*0+3/3*2003*0+4/4*3188*0+5/5*12124*0+6/6*(12373*0+7/7*12420*0+9/9*16921*0+10/10*18470*0+11/11*18938+70810/70810*(14060*0+7/7*29100*0+8/8*41710*0+9/9*45765))</f>
        <v>64703</v>
      </c>
      <c r="AG38" s="53">
        <f t="shared" si="18"/>
        <v>-6963</v>
      </c>
      <c r="AH38" s="145" t="s">
        <v>231</v>
      </c>
      <c r="AI38" s="55">
        <f>(AG38-(10470-4938)-(17040-14000))-(30230-45765)</f>
        <v>0</v>
      </c>
      <c r="AK38" s="240">
        <f t="shared" si="19"/>
        <v>0</v>
      </c>
    </row>
    <row r="39" spans="1:37" ht="12.75">
      <c r="A39" s="1" t="s">
        <v>11</v>
      </c>
      <c r="C39" s="2">
        <v>6</v>
      </c>
      <c r="D39" s="2">
        <v>5.8</v>
      </c>
      <c r="E39" s="68"/>
      <c r="F39" s="17"/>
      <c r="G39" s="17"/>
      <c r="I39" s="16"/>
      <c r="J39" s="17"/>
      <c r="K39" s="17">
        <f t="shared" si="11"/>
        <v>0</v>
      </c>
      <c r="P39" s="33">
        <f>1572100+94310-M41</f>
        <v>-2129346.9899999993</v>
      </c>
      <c r="Q39" s="65"/>
      <c r="R39" s="65"/>
      <c r="S39" s="22"/>
      <c r="T39" s="68"/>
      <c r="U39" s="17"/>
      <c r="V39" s="17"/>
      <c r="W39" s="17"/>
      <c r="X39" s="135"/>
      <c r="Y39" s="68"/>
      <c r="Z39" s="14">
        <f t="shared" si="17"/>
        <v>0</v>
      </c>
      <c r="AG39" s="53">
        <f t="shared" si="18"/>
        <v>0</v>
      </c>
      <c r="AH39" s="55" t="s">
        <v>97</v>
      </c>
      <c r="AI39" s="55">
        <f>AG39-0</f>
        <v>0</v>
      </c>
      <c r="AK39" s="240">
        <f t="shared" si="19"/>
        <v>0</v>
      </c>
    </row>
    <row r="40" spans="1:37" ht="12.75">
      <c r="A40" s="1" t="s">
        <v>12</v>
      </c>
      <c r="C40" s="2">
        <f>157+25</f>
        <v>182</v>
      </c>
      <c r="D40" s="2">
        <f>126.9+25</f>
        <v>151.9</v>
      </c>
      <c r="E40" s="68">
        <f>100+0</f>
        <v>100</v>
      </c>
      <c r="F40" s="17"/>
      <c r="G40" s="17"/>
      <c r="H40" s="17">
        <f>2209/2209*45</f>
        <v>45</v>
      </c>
      <c r="I40" s="194">
        <v>101</v>
      </c>
      <c r="J40" s="17"/>
      <c r="K40" s="17">
        <f t="shared" si="11"/>
        <v>246</v>
      </c>
      <c r="M40" s="53">
        <f>2/2*3000*0+2412/2412*(2009/2009*(5450*0+2/2*8268)+2010/2010*9100)+3/3*50572*0+4/4*(7642*0+5/5*38732*0+6/6*26762*0+7/7*50522*0+8/8*54022*0+9/9*97032*0+10/10*150382*0+11/11*174942*0+12/12*207219+4351/4351*(12550*0+6/6*45550*0+7/7*12550*0+9/9*45550*0+10/10*13050*0+12/12*13550))</f>
        <v>238137</v>
      </c>
      <c r="N40" s="164">
        <f t="shared" si="16"/>
        <v>0.9680365853658537</v>
      </c>
      <c r="P40" s="12">
        <f>4862+22730-500+30+50-27520</f>
        <v>-348</v>
      </c>
      <c r="Q40" s="65"/>
      <c r="R40" s="65"/>
      <c r="S40" s="22"/>
      <c r="T40" s="68"/>
      <c r="U40" s="17"/>
      <c r="V40" s="17"/>
      <c r="W40" s="17"/>
      <c r="X40" s="135"/>
      <c r="Y40" s="68"/>
      <c r="Z40" s="14">
        <f t="shared" si="17"/>
        <v>0</v>
      </c>
      <c r="AF40" s="33">
        <f>2/2*3000*0+2412/2412*(5450*0+2/2*8268)+3/3*50572*0+4/4*(7642*0+5/5*38732*0+6/6*26762*0+7/7*50522*0+8/8*54022*0+9/9*97032*0+10/10*150382*0+11/11*174942+4351/4351*(12550*0+6/6*45550*0+7/7*12550*0+9/9*45550*0+10/10*13050))</f>
        <v>196260</v>
      </c>
      <c r="AG40" s="53">
        <f t="shared" si="18"/>
        <v>41877</v>
      </c>
      <c r="AH40" s="245" t="s">
        <v>233</v>
      </c>
      <c r="AI40" s="55">
        <f>AG40-18600-6000-6600</f>
        <v>10677</v>
      </c>
      <c r="AK40" s="240">
        <f t="shared" si="19"/>
        <v>0</v>
      </c>
    </row>
    <row r="41" spans="1:37" ht="12.75">
      <c r="A41" s="89" t="s">
        <v>129</v>
      </c>
      <c r="B41" s="3">
        <f aca="true" t="shared" si="20" ref="B41:I41">SUM(B32:B40)</f>
        <v>3120</v>
      </c>
      <c r="C41" s="3">
        <f t="shared" si="20"/>
        <v>4854</v>
      </c>
      <c r="D41" s="3">
        <f t="shared" si="20"/>
        <v>4411.9</v>
      </c>
      <c r="E41" s="66">
        <f t="shared" si="20"/>
        <v>3176</v>
      </c>
      <c r="F41" s="66">
        <f t="shared" si="20"/>
        <v>0</v>
      </c>
      <c r="G41" s="66">
        <f t="shared" si="20"/>
        <v>0</v>
      </c>
      <c r="H41" s="66">
        <f t="shared" si="20"/>
        <v>1686</v>
      </c>
      <c r="I41" s="84">
        <f t="shared" si="20"/>
        <v>-245</v>
      </c>
      <c r="J41" s="66"/>
      <c r="K41" s="84">
        <f>SUM(K32:K40)</f>
        <v>4617</v>
      </c>
      <c r="L41" s="77"/>
      <c r="M41" s="233">
        <f>SUM(M32:M40)</f>
        <v>3795756.9899999993</v>
      </c>
      <c r="N41" s="165">
        <f>M41/(K41*1000)</f>
        <v>0.822126270305393</v>
      </c>
      <c r="O41" s="58">
        <f>2/2*3823019.37-(M41+M95+M96)</f>
        <v>-22447889.619999997</v>
      </c>
      <c r="P41" s="238">
        <f>(K41+K95+K96+K97+K98+K108-3/3*25986*0-7/7*27520*0-9/9*27172*0-11/11*28732*0-12/12*29636)*0+(M41+M108+M95+M96+M97+M98+(M106-9/9*115100)-3/3*6397591.67*0-4/4*8586871.85*0-5/5*10815315.01*0-6/6*12775096.03*0-7/7*15539350.35*0-8/8*17508488.49*0-9/9*19910637.88*0-10/10*22230829.58*0-11/11*24464576.36*0-12/12*27828908.99)</f>
        <v>0</v>
      </c>
      <c r="Q41" s="67">
        <f aca="true" t="shared" si="21" ref="Q41:Y41">SUM(Q32:Q40)</f>
        <v>480</v>
      </c>
      <c r="R41" s="67">
        <f t="shared" si="21"/>
        <v>480</v>
      </c>
      <c r="S41" s="66">
        <f t="shared" si="21"/>
        <v>480</v>
      </c>
      <c r="T41" s="66">
        <f t="shared" si="21"/>
        <v>500</v>
      </c>
      <c r="U41" s="66">
        <f t="shared" si="21"/>
        <v>0</v>
      </c>
      <c r="V41" s="66">
        <f t="shared" si="21"/>
        <v>0</v>
      </c>
      <c r="W41" s="66">
        <f t="shared" si="21"/>
        <v>0</v>
      </c>
      <c r="X41" s="84">
        <f t="shared" si="21"/>
        <v>-60</v>
      </c>
      <c r="Y41" s="66">
        <f t="shared" si="21"/>
        <v>0</v>
      </c>
      <c r="Z41" s="82">
        <f>SUM(Z32:Z40)</f>
        <v>440</v>
      </c>
      <c r="AA41" s="87"/>
      <c r="AB41" s="248">
        <f>SUM(AB32:AB40)</f>
        <v>432012</v>
      </c>
      <c r="AC41" s="165">
        <f>AB41/(Z41*1000)</f>
        <v>0.9818454545454546</v>
      </c>
      <c r="AD41" s="58">
        <f>2/2*5001626-(AB41+AB95+AB96)</f>
        <v>-18509386</v>
      </c>
      <c r="AE41" s="191">
        <f>Z41+Z95+Z96+Z97+Z98+Z108-3/3*23310*0-9/9*22810*0-11/11*24370*0-12/12*25459+(AB41+AB108+AB95+AB96+AB97+AB98-3/3*7074862*0-4/4*8865306*0-5/5*11451751*0-6/6*13507246*0-7/7*15609592*0-8/8*17526056*0-9/9*(18954996+500000)*0-10/10*21432300*0-11/11*23054715*0-12/12*24851012)</f>
        <v>0</v>
      </c>
      <c r="AF41" s="217">
        <f>SUM(AF32:AF40)</f>
        <v>2678864.3600000003</v>
      </c>
      <c r="AG41" s="248">
        <f>SUM(AG32:AG40)</f>
        <v>1116892.63</v>
      </c>
      <c r="AH41" s="198">
        <f>M41-AF41-AG41</f>
        <v>0</v>
      </c>
      <c r="AJ41" s="286">
        <f>SUM(AJ32:AJ40)</f>
        <v>400715</v>
      </c>
      <c r="AK41" s="259">
        <f>SUM(AK32:AK40)</f>
        <v>31297</v>
      </c>
    </row>
    <row r="42" spans="1:38" ht="22.5">
      <c r="A42" s="1" t="s">
        <v>13</v>
      </c>
      <c r="B42" s="2">
        <v>622</v>
      </c>
      <c r="C42" s="2">
        <v>622</v>
      </c>
      <c r="D42" s="2">
        <v>604.1</v>
      </c>
      <c r="E42" s="37">
        <f>(622*1.2+3.6-750)+622-255+493</f>
        <v>860</v>
      </c>
      <c r="F42" s="16"/>
      <c r="G42" s="16"/>
      <c r="H42" s="16"/>
      <c r="I42" s="16"/>
      <c r="J42" s="16"/>
      <c r="K42" s="17">
        <f t="shared" si="11"/>
        <v>860</v>
      </c>
      <c r="L42" s="11" t="s">
        <v>30</v>
      </c>
      <c r="M42" s="234">
        <f>13826.05*0+2/2*71671.05*0+3/3*176340.05*0+4/4*166891.55*0+5/5*241332.55*0+6/6*309171.05*0+7/7*302910.55*0+8/8*429120.71*0+9/9*505176.21*0+10/10*663393.37*0+11/11*596985.68*0+12/12*668544.3</f>
        <v>668544.3</v>
      </c>
      <c r="N42" s="164">
        <f t="shared" si="16"/>
        <v>0.7773770930232559</v>
      </c>
      <c r="P42" s="38">
        <f>K42*1000-((367+33+92+14)*1000+M42)</f>
        <v>-314544.30000000005</v>
      </c>
      <c r="Q42" s="65"/>
      <c r="R42" s="65"/>
      <c r="S42" s="22"/>
      <c r="T42" s="22"/>
      <c r="U42" s="16"/>
      <c r="V42" s="16"/>
      <c r="W42" s="16"/>
      <c r="X42" s="194">
        <v>63</v>
      </c>
      <c r="Y42" s="194"/>
      <c r="Z42" s="81">
        <f aca="true" t="shared" si="22" ref="Z42:Z50">SUM(T42:Y42)</f>
        <v>63</v>
      </c>
      <c r="AB42" s="55">
        <f>1/1*(18101-17830)+2/2*(40127-39557)+3/3*(-841+2033)+4/4*(-2033+606)+5/5*(-606+2415)+6/6*(-2415+3218)+7/7*(-3218+101)*0+8/8*(-3218+23156)*0+9/9*(-2004)*0+10/10*-2036*0+11/11*-1340*0+12/12*-3218+4153/4153*62912.12</f>
        <v>62912.12</v>
      </c>
      <c r="AC42" s="229">
        <f>AB42/(Z42*1000)</f>
        <v>0.9986050793650794</v>
      </c>
      <c r="AE42" s="209" t="s">
        <v>257</v>
      </c>
      <c r="AF42" s="113">
        <f>13826.05*0+2/2*71671.05*0+3/3*176340.05*0+4/4*166891.55*0+5/5*241332.55*0+6/6*309171.05*0+7/7*302910.55*0+8/8*429120.71*0+9/9*505176.21*0+10/10*663393.37*0+11/11*596985.68</f>
        <v>596985.68</v>
      </c>
      <c r="AG42" s="53">
        <f aca="true" t="shared" si="23" ref="AG42:AG50">M42-AF42</f>
        <v>71558.62</v>
      </c>
      <c r="AH42" s="245" t="s">
        <v>266</v>
      </c>
      <c r="AI42" s="252">
        <f>AG42-12/12*(4826)</f>
        <v>66732.62</v>
      </c>
      <c r="AJ42" s="287">
        <f>1/1*(18101-17830)+2/2*(40127-39557)+3/3*(-841+2033)+4/4*(-2033+606)+5/5*(-606+2415)+6/6*(-2415+3218)+7/7*(-3218+101)*0+8/8*(-3218+23156)*0+9/9*(-2004)*0+10/10*-2036*0+11/11*-1340+4153/4153*62912.12</f>
        <v>64790.12</v>
      </c>
      <c r="AK42" s="240">
        <f aca="true" t="shared" si="24" ref="AK42:AK50">AB42-AJ42</f>
        <v>-1878</v>
      </c>
      <c r="AL42" s="287" t="s">
        <v>97</v>
      </c>
    </row>
    <row r="43" spans="1:37" ht="12.75">
      <c r="A43" s="1" t="s">
        <v>14</v>
      </c>
      <c r="B43" s="2">
        <v>1828</v>
      </c>
      <c r="C43" s="2">
        <f>1828-40</f>
        <v>1788</v>
      </c>
      <c r="D43" s="2">
        <v>1764.1</v>
      </c>
      <c r="E43" s="37">
        <f>1828-984+1021</f>
        <v>1865</v>
      </c>
      <c r="F43" s="16"/>
      <c r="G43" s="16"/>
      <c r="H43" s="16"/>
      <c r="I43" s="16"/>
      <c r="J43" s="16"/>
      <c r="K43" s="17">
        <f t="shared" si="11"/>
        <v>1865</v>
      </c>
      <c r="L43" s="11" t="s">
        <v>31</v>
      </c>
      <c r="M43" s="234">
        <f>55490.16*0+2/2*186136.58*0+3/3*367090.02*0+4/4*585585.11*0+5/5*727334.5*0+6/6*861257.31*0+7/7*1034807.9*0+8/8*1302135.35*0+9/9*1464870.34*0+10/10*1712978.95*0+11/11*1838840.49*0+12/12*2124311.69-81/81*51700</f>
        <v>2072611.69</v>
      </c>
      <c r="N43" s="164">
        <f t="shared" si="16"/>
        <v>1.1113199410187666</v>
      </c>
      <c r="P43" s="38">
        <f>K43*1000-((696+63+174+42)*1000+M43)</f>
        <v>-1182611.69</v>
      </c>
      <c r="Q43" s="65">
        <v>130</v>
      </c>
      <c r="R43" s="65">
        <v>130</v>
      </c>
      <c r="S43" s="22">
        <v>130</v>
      </c>
      <c r="T43" s="22">
        <v>130</v>
      </c>
      <c r="U43" s="16"/>
      <c r="V43" s="16"/>
      <c r="W43" s="16"/>
      <c r="X43" s="194">
        <v>-7</v>
      </c>
      <c r="Y43" s="194"/>
      <c r="Z43" s="81">
        <f t="shared" si="22"/>
        <v>123</v>
      </c>
      <c r="AB43" s="55">
        <f>16875+2/2*16238+4/4*24509+6/6*10133+7/7*11803*0+8/8*17296+10/10*12186+11/11*36037+12/12*16571</f>
        <v>149845</v>
      </c>
      <c r="AC43" s="164">
        <f>AB43/(Z43*1000)</f>
        <v>1.2182520325203252</v>
      </c>
      <c r="AE43" s="204">
        <f>0+4153/4153*62912.12-AB42</f>
        <v>0</v>
      </c>
      <c r="AF43" s="113">
        <f>55490.16*0+2/2*186136.58*0+3/3*367090.02*0+4/4*585585.11*0+5/5*727334.5*0+6/6*861257.31*0+7/7*1034807.9*0+8/8*1302135.35*0+9/9*1464870.34*0+10/10*1712978.95*0+11/11*1838840.49-81/81*51700</f>
        <v>1787140.49</v>
      </c>
      <c r="AG43" s="201">
        <f t="shared" si="23"/>
        <v>285471.19999999995</v>
      </c>
      <c r="AH43" s="203"/>
      <c r="AI43" s="210">
        <f>AG43+(-((87059-3873+28633-350)*0+(888452+226505+81540-805266-205708-74054))-((4650.68*0-4*4821.09*0)*0+(54063.84-68527.11))-(262219.71-240547.41)-(27178.91-20894.4)-(8723.05-7824.05))</f>
        <v>159609.65999999995</v>
      </c>
      <c r="AJ43" s="287">
        <f>16875+2/2*16238+4/4*24509+6/6*10133+7/7*11803*0+8/8*17296+10/10*12186+11/11*36037</f>
        <v>133274</v>
      </c>
      <c r="AK43" s="240">
        <f t="shared" si="24"/>
        <v>16571</v>
      </c>
    </row>
    <row r="44" spans="1:37" ht="12.75">
      <c r="A44" s="1" t="s">
        <v>15</v>
      </c>
      <c r="B44" s="2">
        <v>572</v>
      </c>
      <c r="C44" s="2">
        <f>632+560</f>
        <v>1192</v>
      </c>
      <c r="D44" s="2">
        <v>1185.9</v>
      </c>
      <c r="E44" s="37">
        <f>(572*1.2+13.6-700)+572-215+353</f>
        <v>710</v>
      </c>
      <c r="F44" s="16"/>
      <c r="G44" s="16"/>
      <c r="H44" s="16"/>
      <c r="I44" s="16"/>
      <c r="J44" s="16"/>
      <c r="K44" s="17">
        <f t="shared" si="11"/>
        <v>710</v>
      </c>
      <c r="L44" s="11" t="s">
        <v>32</v>
      </c>
      <c r="M44" s="234">
        <f>6628.05*0+2/2*50078.05*0+3/3*175446.01*0+4/4*219083.05*0+5/5*342349.48*0+6/6*415308.46*0+7/7*530050.5*0+8/8*694381.48*0+9/9*997749.16*0+10/10*(1124266.14*0+11/11*1907159.08*0+12/12*955519.6+44/44*(582866*0+12/12*1726749.7))-M45</f>
        <v>955519.5999999999</v>
      </c>
      <c r="N44" s="164">
        <f t="shared" si="16"/>
        <v>1.3458022535211265</v>
      </c>
      <c r="P44" s="38">
        <f>K44*1000-((249+22+62+14)*1000+M44)</f>
        <v>-592519.5999999999</v>
      </c>
      <c r="Q44" s="65"/>
      <c r="R44" s="65"/>
      <c r="S44" s="22"/>
      <c r="T44" s="21">
        <v>140</v>
      </c>
      <c r="U44" s="16"/>
      <c r="V44" s="16"/>
      <c r="W44" s="16"/>
      <c r="X44" s="194">
        <v>-40</v>
      </c>
      <c r="Y44" s="194"/>
      <c r="Z44" s="81">
        <f t="shared" si="22"/>
        <v>100</v>
      </c>
      <c r="AB44" s="55">
        <f>2200+2/2*1000+9/9*38450+10/10*51650+11/11*7100</f>
        <v>100400</v>
      </c>
      <c r="AC44" s="164">
        <f>AB44/(Z44*1000)</f>
        <v>1.004</v>
      </c>
      <c r="AF44" s="113">
        <f>6628.05*0+2/2*50078.05*0+3/3*175446.01*0+4/4*219083.05*0+5/5*342349.48*0+6/6*415308.46*0+7/7*530050.5*0+8/8*694381.48*0+9/9*997749.16*0+10/10*(1124266.14*0+11/11*1907159.08+44/44*582866)-AF45</f>
        <v>834355.3800000001</v>
      </c>
      <c r="AG44" s="201">
        <f t="shared" si="23"/>
        <v>121164.21999999974</v>
      </c>
      <c r="AH44" s="203"/>
      <c r="AI44" s="211">
        <f>AG44-11/11*65859.94*0</f>
        <v>121164.21999999974</v>
      </c>
      <c r="AJ44" s="287">
        <f>2200+2/2*1000+9/9*38450+10/10*51650+11/11*7100</f>
        <v>100400</v>
      </c>
      <c r="AK44" s="240">
        <f t="shared" si="24"/>
        <v>0</v>
      </c>
    </row>
    <row r="45" spans="1:37" ht="23.25">
      <c r="A45" s="123" t="s">
        <v>155</v>
      </c>
      <c r="B45" s="125">
        <v>572</v>
      </c>
      <c r="C45" s="125">
        <f>632+560</f>
        <v>1192</v>
      </c>
      <c r="D45" s="125">
        <v>1185.9</v>
      </c>
      <c r="E45" s="120"/>
      <c r="F45" s="120"/>
      <c r="G45" s="120"/>
      <c r="H45" s="126">
        <f>7/7*99/99*4000</f>
        <v>4000</v>
      </c>
      <c r="I45" s="16"/>
      <c r="J45" s="120"/>
      <c r="K45" s="127">
        <f>SUM(E45:J45)</f>
        <v>4000</v>
      </c>
      <c r="L45" s="124" t="s">
        <v>32</v>
      </c>
      <c r="M45" s="234">
        <f>7/7*6121/6121*92045*0+8/8*(190407*0+9/9*355770.7*0+11/11*1072803.7*0+44/44*(10/10*582866*0+12/12*1726749.7))</f>
        <v>1726749.7</v>
      </c>
      <c r="N45" s="164">
        <f>M45/(K45*1000)</f>
        <v>0.431687425</v>
      </c>
      <c r="P45" s="188">
        <f>403.8-92-9.6-88.8</f>
        <v>213.39999999999998</v>
      </c>
      <c r="Q45" s="65"/>
      <c r="R45" s="65"/>
      <c r="S45" s="22"/>
      <c r="U45" s="16"/>
      <c r="V45" s="16"/>
      <c r="W45" s="16"/>
      <c r="X45" s="16"/>
      <c r="Y45" s="37"/>
      <c r="AC45" s="164"/>
      <c r="AF45" s="113">
        <f>7/7*6121/6121*92045*0+8/8*(190407*0+9/9*355770.7*0+11/11*1072803.7+10/10*582866*44/44)</f>
        <v>1655669.7</v>
      </c>
      <c r="AG45" s="201">
        <f t="shared" si="23"/>
        <v>71080</v>
      </c>
      <c r="AH45" s="203"/>
      <c r="AI45" s="211">
        <f>AG45-11/11*717033</f>
        <v>-645953</v>
      </c>
      <c r="AK45" s="240"/>
    </row>
    <row r="46" spans="1:37" ht="12.75">
      <c r="A46" s="1" t="s">
        <v>128</v>
      </c>
      <c r="B46" s="2">
        <v>28</v>
      </c>
      <c r="C46" s="31">
        <f>28+10</f>
        <v>38</v>
      </c>
      <c r="D46" s="2">
        <v>37.7</v>
      </c>
      <c r="E46" s="37">
        <f>12+16*0</f>
        <v>12</v>
      </c>
      <c r="F46" s="16"/>
      <c r="G46" s="16"/>
      <c r="H46" s="16"/>
      <c r="I46" s="16"/>
      <c r="J46" s="16"/>
      <c r="K46" s="17">
        <f t="shared" si="11"/>
        <v>12</v>
      </c>
      <c r="L46" s="11" t="s">
        <v>33</v>
      </c>
      <c r="M46" s="234">
        <f>2/2*1000+3/3*1000+4/4*1000+5/5*1000+6/6*1000+7/7*1000+8/8*1000+9/9*1000+10/10*1000+11/11*1000+12/12*2000</f>
        <v>12000</v>
      </c>
      <c r="N46" s="164">
        <f t="shared" si="16"/>
        <v>1</v>
      </c>
      <c r="P46" s="38"/>
      <c r="Q46" s="65"/>
      <c r="R46" s="65"/>
      <c r="S46" s="22"/>
      <c r="T46" s="22"/>
      <c r="U46" s="16"/>
      <c r="V46" s="16"/>
      <c r="W46" s="16"/>
      <c r="X46" s="16"/>
      <c r="Y46" s="37"/>
      <c r="Z46" s="14">
        <f t="shared" si="22"/>
        <v>0</v>
      </c>
      <c r="AF46" s="113">
        <f>2/2*1000+3/3*1000+4/4*1000+5/5*1000+6/6*1000+7/7*1000+8/8*1000+9/9*1000+10/10*1000+11/11*1000</f>
        <v>10000</v>
      </c>
      <c r="AG46" s="53">
        <f t="shared" si="23"/>
        <v>2000</v>
      </c>
      <c r="AH46" s="145" t="s">
        <v>223</v>
      </c>
      <c r="AI46" s="55">
        <f>AG46-1000*2</f>
        <v>0</v>
      </c>
      <c r="AK46" s="240">
        <f t="shared" si="24"/>
        <v>0</v>
      </c>
    </row>
    <row r="47" spans="1:37" ht="12.75">
      <c r="A47" s="1" t="s">
        <v>127</v>
      </c>
      <c r="C47" s="2">
        <f>(13-10)+(21+19)+(0+5)+0+(0+16)</f>
        <v>64</v>
      </c>
      <c r="D47" s="2">
        <f>3+40+5+0.4+15.5</f>
        <v>63.9</v>
      </c>
      <c r="E47" s="37">
        <f>12*0+16</f>
        <v>16</v>
      </c>
      <c r="I47" s="16"/>
      <c r="K47" s="17">
        <f t="shared" si="11"/>
        <v>16</v>
      </c>
      <c r="L47" s="13" t="s">
        <v>34</v>
      </c>
      <c r="M47" s="53">
        <f>2/2*-2826*0+4/4*-1693.12*0+8/8*-1624.12*0+9/9*826.28*0+11/11*1305.28+12/12*100</f>
        <v>1405.28</v>
      </c>
      <c r="N47" s="164">
        <f t="shared" si="16"/>
        <v>0.08782999999999999</v>
      </c>
      <c r="P47" s="13"/>
      <c r="Q47" s="2">
        <v>140</v>
      </c>
      <c r="R47" s="2">
        <v>140</v>
      </c>
      <c r="S47" s="21">
        <v>140</v>
      </c>
      <c r="W47" s="17"/>
      <c r="X47" s="135"/>
      <c r="Y47" s="68"/>
      <c r="Z47" s="17">
        <f t="shared" si="22"/>
        <v>0</v>
      </c>
      <c r="AA47" s="12"/>
      <c r="AB47" s="105"/>
      <c r="AF47" s="33">
        <f>2/2*-2826*0+4/4*-1693.12*0+8/8*-1624.12*0+9/9*826.28*0+11/11*1305.28</f>
        <v>1305.28</v>
      </c>
      <c r="AG47" s="53">
        <f t="shared" si="23"/>
        <v>100</v>
      </c>
      <c r="AH47" s="145" t="s">
        <v>224</v>
      </c>
      <c r="AI47" s="55">
        <f>AG47-100</f>
        <v>0</v>
      </c>
      <c r="AJ47" s="288"/>
      <c r="AK47" s="240">
        <f t="shared" si="24"/>
        <v>0</v>
      </c>
    </row>
    <row r="48" spans="1:37" ht="12.75">
      <c r="A48" s="1" t="s">
        <v>16</v>
      </c>
      <c r="C48" s="2">
        <f>(13-10)+(21+19)+(0+5)+0+(0+16)</f>
        <v>64</v>
      </c>
      <c r="D48" s="2">
        <f>3+40+5+0.4+15.5</f>
        <v>63.9</v>
      </c>
      <c r="E48" s="27">
        <f>35+60+40+50+150</f>
        <v>335</v>
      </c>
      <c r="G48" s="14">
        <f>1606/1606*221</f>
        <v>221</v>
      </c>
      <c r="H48" s="106">
        <f>2209/2209*-158-221</f>
        <v>-379</v>
      </c>
      <c r="I48" s="16"/>
      <c r="K48" s="14">
        <f>SUM(E48:J48)</f>
        <v>177</v>
      </c>
      <c r="L48" s="13"/>
      <c r="M48" s="53">
        <f>6/6*(40610/40610*250+190610/190610*4418)+180910/180910*(9/9*47310*0+11/11*52368)+12/12*(91010/91010*16162+2412/2412*5000)</f>
        <v>78198</v>
      </c>
      <c r="N48" s="164">
        <f t="shared" si="16"/>
        <v>0.4417966101694915</v>
      </c>
      <c r="P48" s="186">
        <f>910/910*90+1809/1809*62+1906/1906*5+2412/2412*20</f>
        <v>177</v>
      </c>
      <c r="W48" s="17"/>
      <c r="X48" s="135"/>
      <c r="Y48" s="68"/>
      <c r="Z48" s="17"/>
      <c r="AA48" s="12"/>
      <c r="AB48" s="105"/>
      <c r="AC48" s="164"/>
      <c r="AF48" s="33">
        <f>6/6*(40610/40610*250+190610/190610*4418)+180910/180910*(9/9*47310*0+11/11*52368)</f>
        <v>57036</v>
      </c>
      <c r="AG48" s="53">
        <f t="shared" si="23"/>
        <v>21162</v>
      </c>
      <c r="AH48" s="145" t="s">
        <v>254</v>
      </c>
      <c r="AI48" s="55">
        <f>AG48-16162-5000</f>
        <v>0</v>
      </c>
      <c r="AJ48" s="288"/>
      <c r="AK48" s="240"/>
    </row>
    <row r="49" spans="1:38" ht="22.5">
      <c r="A49" s="1" t="s">
        <v>17</v>
      </c>
      <c r="B49" s="2">
        <v>33200</v>
      </c>
      <c r="C49" s="32">
        <f>33200+(6186+(296+41)+1112/1112*153+5000)</f>
        <v>44876</v>
      </c>
      <c r="D49" s="32">
        <f>(39386.1+152.4)+(596-300)+5000</f>
        <v>44834.5</v>
      </c>
      <c r="E49" s="27"/>
      <c r="H49" s="106">
        <f>500-(300-115*2)-430*5/5</f>
        <v>0</v>
      </c>
      <c r="I49" s="194">
        <f>500+2*115+(138+249)+97*0*8233/8233-1117*9/9+12/12*(500+(52+65+322))</f>
        <v>939</v>
      </c>
      <c r="K49" s="14">
        <f t="shared" si="11"/>
        <v>939</v>
      </c>
      <c r="M49" s="53">
        <f>38070*0+2/2*482096+3/3*678+4/4*946.44+6/6*(500000)+7/7*230000+8/8*(8233/8233)*(152000*0+9/9*321437)+12/12*-245164.65+8233/8233*321437-(25000+51272.35)</f>
        <v>1535157.44</v>
      </c>
      <c r="N49" s="229">
        <f t="shared" si="16"/>
        <v>1.6348854526091585</v>
      </c>
      <c r="P49" s="195" t="s">
        <v>176</v>
      </c>
      <c r="W49" s="17"/>
      <c r="X49" s="106">
        <f>300*(0*9/9+12/12)</f>
        <v>300</v>
      </c>
      <c r="Y49" s="106"/>
      <c r="Z49" s="106">
        <f t="shared" si="22"/>
        <v>300</v>
      </c>
      <c r="AA49" s="12"/>
      <c r="AB49" s="247">
        <f>7/7*300000</f>
        <v>300000</v>
      </c>
      <c r="AC49" s="229">
        <f>AB49/(Z49*1000)</f>
        <v>1</v>
      </c>
      <c r="AF49" s="33">
        <f>38070*0+2/2*482096+3/3*678+4/4*946.44+6/6*(500000)+7/7*230000+8/8*(8233/8233)*(152000*0+9/9*321437)</f>
        <v>1535157.44</v>
      </c>
      <c r="AG49" s="53">
        <f t="shared" si="23"/>
        <v>0</v>
      </c>
      <c r="AH49" s="187"/>
      <c r="AI49" s="55">
        <f>AG49-0</f>
        <v>0</v>
      </c>
      <c r="AJ49" s="288">
        <f>7/7*300000</f>
        <v>300000</v>
      </c>
      <c r="AK49" s="240">
        <f t="shared" si="24"/>
        <v>0</v>
      </c>
      <c r="AL49" s="283" t="s">
        <v>97</v>
      </c>
    </row>
    <row r="50" spans="1:37" ht="22.5">
      <c r="A50" s="1" t="s">
        <v>159</v>
      </c>
      <c r="C50" s="2">
        <v>72</v>
      </c>
      <c r="D50" s="2">
        <f>64.9+7.1</f>
        <v>72</v>
      </c>
      <c r="E50" s="27"/>
      <c r="I50" s="16"/>
      <c r="K50" s="14">
        <f t="shared" si="11"/>
        <v>0</v>
      </c>
      <c r="M50" s="53">
        <f>38622*0+2/2*482096*0+3/3*482774*0+4/4*483720.44*0+6/6*1034992.79*0+7/7*1264992.79*0+12/12*1289992.79-(M49-(8233/8233*152000*0+321437))</f>
        <v>76272.3500000001</v>
      </c>
      <c r="O50" s="240">
        <f>76272.35*0-51272.35-25000</f>
        <v>-76272.35</v>
      </c>
      <c r="P50" s="249" t="s">
        <v>226</v>
      </c>
      <c r="W50" s="17"/>
      <c r="X50" s="135"/>
      <c r="Y50" s="68"/>
      <c r="Z50" s="17">
        <f t="shared" si="22"/>
        <v>0</v>
      </c>
      <c r="AA50" s="12"/>
      <c r="AB50" s="105"/>
      <c r="AF50" s="33">
        <f>38622*0+2/2*482096*0+3/3*482774*0+4/4*483720.44*0+6/6*1034992.79*0+7/7*1264992.79-(AF49-(8233/8233*152000*0+321437))</f>
        <v>51272.35000000009</v>
      </c>
      <c r="AG50" s="53">
        <f t="shared" si="23"/>
        <v>25000</v>
      </c>
      <c r="AH50" s="83" t="s">
        <v>225</v>
      </c>
      <c r="AI50" s="55">
        <f>AG50-25000</f>
        <v>0</v>
      </c>
      <c r="AJ50" s="288"/>
      <c r="AK50" s="240">
        <f t="shared" si="24"/>
        <v>0</v>
      </c>
    </row>
    <row r="51" spans="1:37" ht="15" customHeight="1">
      <c r="A51" s="89" t="s">
        <v>130</v>
      </c>
      <c r="B51" s="3">
        <f aca="true" t="shared" si="25" ref="B51:I51">SUM(B42:B50)</f>
        <v>36822</v>
      </c>
      <c r="C51" s="3">
        <f t="shared" si="25"/>
        <v>49908</v>
      </c>
      <c r="D51" s="3">
        <f t="shared" si="25"/>
        <v>49812</v>
      </c>
      <c r="E51" s="15">
        <f t="shared" si="25"/>
        <v>3798</v>
      </c>
      <c r="F51" s="15">
        <f t="shared" si="25"/>
        <v>0</v>
      </c>
      <c r="G51" s="15">
        <f t="shared" si="25"/>
        <v>221</v>
      </c>
      <c r="H51" s="214">
        <f t="shared" si="25"/>
        <v>3621</v>
      </c>
      <c r="I51" s="84">
        <f t="shared" si="25"/>
        <v>939</v>
      </c>
      <c r="J51" s="82"/>
      <c r="K51" s="82">
        <f>SUM(K42:K50)</f>
        <v>8579</v>
      </c>
      <c r="L51" s="128"/>
      <c r="M51" s="233">
        <f>SUM(M42:M50)</f>
        <v>7126458.359999999</v>
      </c>
      <c r="N51" s="165">
        <f>M51/(K51*1000)</f>
        <v>0.8306863690406807</v>
      </c>
      <c r="O51" s="58">
        <f>2/2*788155.68-M51</f>
        <v>-6338302.68</v>
      </c>
      <c r="P51" s="228">
        <f>(K51+K107-3/3*3798*0-4/4*(3849.7+160610/160610*221*0)*0-7/7*7849.7*0-9/9*7691.7*0-12/12*8630.7)+(M51+M107-3/3*1200824.08*0-4/4*1456587.03*0-5/5*1797043.85*0-6/6*2628704.49*0-7/7*3141736.62*0-8/8*3886601.21*0-9/9*4615029.78*0-10/10*5731738.53*0-11/11*6580622.32*0-12/12*7178158.36)</f>
        <v>-9.313225746154785E-10</v>
      </c>
      <c r="Q51" s="3">
        <f aca="true" t="shared" si="26" ref="Q51:Y51">SUM(Q42:Q50)</f>
        <v>270</v>
      </c>
      <c r="R51" s="3">
        <f t="shared" si="26"/>
        <v>270</v>
      </c>
      <c r="S51" s="15">
        <f t="shared" si="26"/>
        <v>270</v>
      </c>
      <c r="T51" s="15">
        <f t="shared" si="26"/>
        <v>270</v>
      </c>
      <c r="U51" s="15">
        <f t="shared" si="26"/>
        <v>0</v>
      </c>
      <c r="V51" s="15">
        <f t="shared" si="26"/>
        <v>0</v>
      </c>
      <c r="W51" s="66">
        <f t="shared" si="26"/>
        <v>0</v>
      </c>
      <c r="X51" s="84">
        <f t="shared" si="26"/>
        <v>316</v>
      </c>
      <c r="Y51" s="66">
        <f t="shared" si="26"/>
        <v>0</v>
      </c>
      <c r="Z51" s="84">
        <f>SUM(Z42:Z50)</f>
        <v>586</v>
      </c>
      <c r="AA51" s="85"/>
      <c r="AB51" s="226">
        <f>SUM(AB42:AB50)</f>
        <v>613157.12</v>
      </c>
      <c r="AC51" s="165">
        <f>AB51/(Z51*1000)</f>
        <v>1.0463432081911264</v>
      </c>
      <c r="AD51" s="58">
        <f>2/2*37154-AB51</f>
        <v>-576003.12</v>
      </c>
      <c r="AE51" s="191">
        <f>(Z51+Z107-3/3*270*0-4/4*321.7*0-12/12*637.7)+(AB51+AB107-3/3*38346*0-4/4*113128*0-5/5*114937*0-6/6*125873*0-7/7*434559*0-8/8*463107*0-9/9*479615*0-10/10*606331.12*0-11/11*650164.12*0-12/12*664857.12)</f>
        <v>0</v>
      </c>
      <c r="AF51" s="217">
        <f>SUM(AF42:AF50)</f>
        <v>6528922.32</v>
      </c>
      <c r="AG51" s="202">
        <f>SUM(AG42:AG50)</f>
        <v>597536.0399999997</v>
      </c>
      <c r="AH51" s="198">
        <f>M51-AF51-AG51</f>
        <v>0</v>
      </c>
      <c r="AI51" s="55"/>
      <c r="AJ51" s="217">
        <f>SUM(AJ42:AJ50)</f>
        <v>598464.12</v>
      </c>
      <c r="AK51" s="259">
        <f>SUM(AK42:AK50)</f>
        <v>14693</v>
      </c>
    </row>
    <row r="52" spans="1:37" ht="22.5">
      <c r="A52" s="1" t="s">
        <v>18</v>
      </c>
      <c r="B52" s="2">
        <v>350</v>
      </c>
      <c r="C52" s="2">
        <v>350</v>
      </c>
      <c r="D52" s="2">
        <f>394.3-102+55.5</f>
        <v>347.8</v>
      </c>
      <c r="E52" s="21">
        <v>350</v>
      </c>
      <c r="F52" s="76"/>
      <c r="K52" s="28">
        <f t="shared" si="11"/>
        <v>350</v>
      </c>
      <c r="M52" s="53">
        <f>14205.05*0+2/2*38597.05*0+3/3*149112.89*0+4/4*210488.05*0+5/5*(260046.47*0+6/6*304954.89*0+7/7*(308058.05*0+8/8*316784.47*0+9/9*(331931.89*0+10/10*356273.31*0+11/11*378799.45*0+12/12*383328.45-M117)+1/1*(4589*0+9/9*8856*0+12/12*9424))+10610/10610*8081)</f>
        <v>338833.45</v>
      </c>
      <c r="N52" s="164">
        <f>M52/(K52*1000)</f>
        <v>0.9680955714285715</v>
      </c>
      <c r="W52" s="17"/>
      <c r="X52" s="135"/>
      <c r="Y52" s="22"/>
      <c r="Z52" s="17">
        <f>SUM(T52:Y52)</f>
        <v>0</v>
      </c>
      <c r="AA52" s="12"/>
      <c r="AB52" s="105"/>
      <c r="AF52" s="33">
        <f>14205.05*0+2/2*38597.05*0+3/3*149112.89*0+4/4*210488.05*0+5/5*(260046.47*0+6/6*304954.89*0+7/7*(308058.05*0+8/8*316784.47*0+9/9*(331931.89*0+10/10*356273.31*0+11/11*378799.45-AF117)+1/1*(4589*0+9/9*8856))+10610/10610*8081)</f>
        <v>339459.45</v>
      </c>
      <c r="AG52" s="53">
        <f>M52-AF52</f>
        <v>-626</v>
      </c>
      <c r="AH52" s="245" t="s">
        <v>229</v>
      </c>
      <c r="AI52" s="55">
        <f>AG52-(1290+599+2640+568)+5723</f>
        <v>0</v>
      </c>
      <c r="AJ52" s="288"/>
      <c r="AK52" s="240">
        <f>AB52-AJ52</f>
        <v>0</v>
      </c>
    </row>
    <row r="53" spans="23:37" ht="12.75">
      <c r="W53" s="17"/>
      <c r="X53" s="135"/>
      <c r="Y53" s="22"/>
      <c r="Z53" s="17"/>
      <c r="AA53" s="12"/>
      <c r="AB53" s="105"/>
      <c r="AG53" s="53"/>
      <c r="AH53" s="145"/>
      <c r="AJ53" s="288"/>
      <c r="AK53" s="240">
        <f>AB53-AJ53</f>
        <v>0</v>
      </c>
    </row>
    <row r="54" spans="1:37" ht="15" customHeight="1">
      <c r="A54" s="89" t="s">
        <v>131</v>
      </c>
      <c r="B54" s="3">
        <f aca="true" t="shared" si="27" ref="B54:I54">SUM(B52:B53)</f>
        <v>350</v>
      </c>
      <c r="C54" s="3">
        <f t="shared" si="27"/>
        <v>350</v>
      </c>
      <c r="D54" s="3">
        <f t="shared" si="27"/>
        <v>347.8</v>
      </c>
      <c r="E54" s="15">
        <f t="shared" si="27"/>
        <v>350</v>
      </c>
      <c r="F54" s="15">
        <f t="shared" si="27"/>
        <v>0</v>
      </c>
      <c r="G54" s="15">
        <f t="shared" si="27"/>
        <v>0</v>
      </c>
      <c r="H54" s="66">
        <f t="shared" si="27"/>
        <v>0</v>
      </c>
      <c r="I54" s="84">
        <f t="shared" si="27"/>
        <v>0</v>
      </c>
      <c r="J54" s="15"/>
      <c r="K54" s="82">
        <f>SUM(K52:K53)</f>
        <v>350</v>
      </c>
      <c r="L54" s="85"/>
      <c r="M54" s="233">
        <f>SUM(M52:M53)</f>
        <v>338833.45</v>
      </c>
      <c r="N54" s="165">
        <f>M54/(K54*1000)</f>
        <v>0.9680955714285715</v>
      </c>
      <c r="O54" s="58">
        <f>2/2*38597.05-M54</f>
        <v>-300236.4</v>
      </c>
      <c r="P54" s="191">
        <f>K54-3/3*350*0+K117-9/9*412+(M54+M117-3/3*149112.89*0-4/4*210488.05*0-5/5*268127.47*0-6/6*313035.89*0-7/7*320728.05*0-8/8*329454.47*0-9/9*348868.89*0-10/10*373210.31*0-11/11*395736.45*0-12/12*400833.45)</f>
        <v>0</v>
      </c>
      <c r="Q54" s="3">
        <f aca="true" t="shared" si="28" ref="Q54:Y54">SUM(Q52:Q53)</f>
        <v>0</v>
      </c>
      <c r="R54" s="3">
        <f t="shared" si="28"/>
        <v>0</v>
      </c>
      <c r="S54" s="15">
        <f t="shared" si="28"/>
        <v>0</v>
      </c>
      <c r="T54" s="15">
        <f t="shared" si="28"/>
        <v>0</v>
      </c>
      <c r="U54" s="15">
        <f t="shared" si="28"/>
        <v>0</v>
      </c>
      <c r="V54" s="15">
        <f t="shared" si="28"/>
        <v>0</v>
      </c>
      <c r="W54" s="66">
        <f t="shared" si="28"/>
        <v>0</v>
      </c>
      <c r="X54" s="133">
        <f t="shared" si="28"/>
        <v>0</v>
      </c>
      <c r="Y54" s="66">
        <f t="shared" si="28"/>
        <v>0</v>
      </c>
      <c r="Z54" s="84">
        <f>SUM(Z52:Z53)</f>
        <v>0</v>
      </c>
      <c r="AA54" s="85"/>
      <c r="AB54" s="233">
        <f>SUM(AB52:AB53)</f>
        <v>0</v>
      </c>
      <c r="AC54" s="165"/>
      <c r="AE54" s="191">
        <f>Z54-3/3*0+Z117-9/9*62+(AB54-3/3*0+AB117-9/9*62000)</f>
        <v>0</v>
      </c>
      <c r="AF54" s="217">
        <f>SUM(AF52:AF53)</f>
        <v>339459.45</v>
      </c>
      <c r="AG54" s="248">
        <f>SUM(AG52:AG53)</f>
        <v>-626</v>
      </c>
      <c r="AH54" s="198"/>
      <c r="AJ54" s="217">
        <f>SUM(AJ52:AJ53)</f>
        <v>0</v>
      </c>
      <c r="AK54" s="259">
        <f>SUM(AK52:AK53)</f>
        <v>0</v>
      </c>
    </row>
    <row r="55" spans="1:37" ht="12.75">
      <c r="A55" s="1" t="s">
        <v>19</v>
      </c>
      <c r="B55" s="2">
        <v>1000</v>
      </c>
      <c r="C55" s="2">
        <v>1000</v>
      </c>
      <c r="D55" s="4">
        <f>1000+864.6*0</f>
        <v>1000</v>
      </c>
      <c r="Q55" s="2">
        <v>1000</v>
      </c>
      <c r="R55" s="2">
        <v>1000</v>
      </c>
      <c r="S55" s="21">
        <v>1000</v>
      </c>
      <c r="W55" s="194">
        <f>427*0*5/5</f>
        <v>0</v>
      </c>
      <c r="X55" s="106">
        <f>427*(0+12/12)</f>
        <v>427</v>
      </c>
      <c r="Y55" s="106"/>
      <c r="Z55" s="106">
        <f>SUM(T55:Y55)</f>
        <v>427</v>
      </c>
      <c r="AA55" s="12"/>
      <c r="AB55" s="247">
        <f>2/2*107/107*179.61+3/3*426965.48</f>
        <v>427145.08999999997</v>
      </c>
      <c r="AC55" s="164">
        <f>AB55/((Z55+427)*1000)</f>
        <v>0.5001698946135831</v>
      </c>
      <c r="AG55" s="201">
        <f>M55-AF55</f>
        <v>0</v>
      </c>
      <c r="AH55" s="111"/>
      <c r="AI55" s="204">
        <f>AG55-0</f>
        <v>0</v>
      </c>
      <c r="AJ55" s="288">
        <f>2/2*107/107*179.61+3/3*426965.48</f>
        <v>427145.08999999997</v>
      </c>
      <c r="AK55" s="240">
        <f>AB55-AJ55</f>
        <v>0</v>
      </c>
    </row>
    <row r="56" spans="1:37" ht="12.75">
      <c r="A56" s="1" t="s">
        <v>20</v>
      </c>
      <c r="C56" s="32">
        <f>641+(2658*0+1139+1519)*0+1139+1519</f>
        <v>3299</v>
      </c>
      <c r="D56" s="2">
        <f>640.9</f>
        <v>640.9</v>
      </c>
      <c r="E56" s="37">
        <f>1000+8000</f>
        <v>9000</v>
      </c>
      <c r="F56" s="37"/>
      <c r="G56" s="37"/>
      <c r="H56" s="215">
        <f>(-905.8-427-3113/3113*420-3412/3412*1117-1305/1305*211+3080.8*0)*0+9/9*3113/3113*(-495-470)</f>
        <v>-965</v>
      </c>
      <c r="J56" s="37"/>
      <c r="K56" s="14">
        <f>SUM(E56:J56)</f>
        <v>8035</v>
      </c>
      <c r="L56" s="38" t="s">
        <v>35</v>
      </c>
      <c r="M56" s="234">
        <f>174274*0+3/3*(2297248.6*0+(4/4*(2282309+5/5*340408.3)*0+7/7*2282309*0+8/8*4836402.3*0+9/9*(5823124.6*0+10/10*6460475.9*0+11/11*4793796.24*0+12/12*4808020.24+3632/3632*8000)+6/6*(2*340408.3*0*7/7+9318*0)+36121/36121*92640)+1517/1517*(83372.92*0*4/4+5/5*41348.46*0+6/6*2*41348.46*0*7/7+8/8*41348.46*0+9/9*82696.92*0+10/10*124045.38*0+11/11*218610.08*0+12/12*222066.08))</f>
        <v>5130726.32</v>
      </c>
      <c r="N56" s="164">
        <f aca="true" t="shared" si="29" ref="N56:N75">M56/(K56*1000)</f>
        <v>0.6385471462352209</v>
      </c>
      <c r="P56" s="38"/>
      <c r="T56" s="37">
        <f>2008/2008*(14000*3/4*110%-11550*0-550)</f>
        <v>11000.000000000002</v>
      </c>
      <c r="U56" s="37"/>
      <c r="V56" s="37"/>
      <c r="W56" s="194">
        <f>-6000*0*5/5</f>
        <v>0</v>
      </c>
      <c r="X56" s="106">
        <v>-1829.9</v>
      </c>
      <c r="Y56" s="106"/>
      <c r="Z56" s="106">
        <f>SUM(T56:Y56)</f>
        <v>9170.100000000002</v>
      </c>
      <c r="AA56" s="20" t="s">
        <v>71</v>
      </c>
      <c r="AB56" s="105"/>
      <c r="AC56" s="164">
        <f>AB56/(Z56*1000)</f>
        <v>0</v>
      </c>
      <c r="AF56" s="113">
        <f>174274*0+3/3*(2297248.6*0+(4/4*(2282309+5/5*340408.3)*0+7/7*2282309*0+8/8*4836402.3*0+9/9*(5823124.6*0+10/10*6460475.9*0+11/11*4793796.24+3632/3632*8000)+6/6*(2*340408.3*0*7/7+9318*0)+36121/36121*92640)+1517/1517*(83372.92*0*4/4+5/5*41348.46*0+6/6*2*41348.46*0*7/7+8/8*41348.46*0+9/9*82696.92*0+10/10*124045.38*0+11/11*218610.08))</f>
        <v>5113046.32</v>
      </c>
      <c r="AG56" s="53">
        <f>M56-AF56</f>
        <v>17680</v>
      </c>
      <c r="AH56" s="245" t="s">
        <v>228</v>
      </c>
      <c r="AI56" s="250">
        <f>AG56-7200-7024-1517/1517*3456</f>
        <v>0</v>
      </c>
      <c r="AJ56" s="288"/>
      <c r="AK56" s="240">
        <f>AB56-AJ56</f>
        <v>0</v>
      </c>
    </row>
    <row r="57" spans="1:37" ht="12.75">
      <c r="A57" s="1" t="s">
        <v>21</v>
      </c>
      <c r="B57" s="2">
        <v>6000</v>
      </c>
      <c r="C57" s="2">
        <f>6000+10</f>
        <v>6010</v>
      </c>
      <c r="D57" s="2">
        <f>6000+9.5</f>
        <v>6009.5</v>
      </c>
      <c r="E57" s="37">
        <f>6000*1.05</f>
        <v>6300</v>
      </c>
      <c r="F57" s="16"/>
      <c r="G57" s="16"/>
      <c r="H57" s="16"/>
      <c r="J57" s="16"/>
      <c r="K57" s="14">
        <f>SUM(E57:J57)</f>
        <v>6300</v>
      </c>
      <c r="L57" s="11" t="s">
        <v>36</v>
      </c>
      <c r="M57" s="234">
        <f>3/3*1000000+6/6*1000000+8/8*1000000+9/9*1000000+11/11*500000+12/12*1800000+3632/3632*0*8000*3612/3612</f>
        <v>6300000</v>
      </c>
      <c r="N57" s="164">
        <f t="shared" si="29"/>
        <v>1</v>
      </c>
      <c r="P57" s="38"/>
      <c r="T57" s="27"/>
      <c r="U57" s="16"/>
      <c r="V57" s="16"/>
      <c r="W57" s="16"/>
      <c r="X57" s="16"/>
      <c r="Y57" s="37"/>
      <c r="Z57" s="17">
        <f>SUM(T57:Y57)</f>
        <v>0</v>
      </c>
      <c r="AA57" s="12"/>
      <c r="AB57" s="105"/>
      <c r="AF57" s="113">
        <f>3/3*1000000+6/6*1000000+8/8*1000000+9/9*1000000+11/11*500000</f>
        <v>4500000</v>
      </c>
      <c r="AG57" s="53">
        <f>M57-AF57</f>
        <v>1800000</v>
      </c>
      <c r="AH57" s="145" t="s">
        <v>187</v>
      </c>
      <c r="AI57" s="55">
        <f>AG57-800000-1000000</f>
        <v>0</v>
      </c>
      <c r="AJ57" s="288"/>
      <c r="AK57" s="240">
        <f>AB57-AJ57</f>
        <v>0</v>
      </c>
    </row>
    <row r="58" spans="1:37" ht="12.75">
      <c r="A58" s="89" t="s">
        <v>180</v>
      </c>
      <c r="B58" s="3">
        <f aca="true" t="shared" si="30" ref="B58:I58">SUM(B55:B57)</f>
        <v>7000</v>
      </c>
      <c r="C58" s="3">
        <f t="shared" si="30"/>
        <v>10309</v>
      </c>
      <c r="D58" s="3">
        <f t="shared" si="30"/>
        <v>7650.4</v>
      </c>
      <c r="E58" s="15">
        <f t="shared" si="30"/>
        <v>15300</v>
      </c>
      <c r="F58" s="15">
        <f t="shared" si="30"/>
        <v>0</v>
      </c>
      <c r="G58" s="15">
        <f t="shared" si="30"/>
        <v>0</v>
      </c>
      <c r="H58" s="66">
        <f t="shared" si="30"/>
        <v>-965</v>
      </c>
      <c r="I58" s="84">
        <f t="shared" si="30"/>
        <v>0</v>
      </c>
      <c r="J58" s="15"/>
      <c r="K58" s="82">
        <f>SUM(K55:K57)</f>
        <v>14335</v>
      </c>
      <c r="L58" s="77"/>
      <c r="M58" s="233">
        <f>SUM(M55:M57)</f>
        <v>11430726.32</v>
      </c>
      <c r="N58" s="165">
        <f>M58/(K58*1000)</f>
        <v>0.7973998130449947</v>
      </c>
      <c r="O58" s="58">
        <f>2/2*174274-M58</f>
        <v>-11256452.32</v>
      </c>
      <c r="P58" s="228">
        <f>K58-3/3*15300*0-9/9*14335+(M58-3/3*3380621.52*0-4/4*3374949*0-5/5*3756705.76*0-6/6*5138462.52*0-7/7*4374949*0-8/8*7970390.76*0-9/9*10006461.52*0-10/10*10685161.28*0-11/11*9613046.32*0-12/12*11430726.32)</f>
        <v>0</v>
      </c>
      <c r="Q58" s="3">
        <f aca="true" t="shared" si="31" ref="Q58:Y58">SUM(Q55:Q57)</f>
        <v>1000</v>
      </c>
      <c r="R58" s="3">
        <f t="shared" si="31"/>
        <v>1000</v>
      </c>
      <c r="S58" s="15">
        <f t="shared" si="31"/>
        <v>1000</v>
      </c>
      <c r="T58" s="15">
        <f t="shared" si="31"/>
        <v>11000.000000000002</v>
      </c>
      <c r="U58" s="15">
        <f t="shared" si="31"/>
        <v>0</v>
      </c>
      <c r="V58" s="15">
        <f t="shared" si="31"/>
        <v>0</v>
      </c>
      <c r="W58" s="66">
        <f t="shared" si="31"/>
        <v>0</v>
      </c>
      <c r="X58" s="84">
        <f t="shared" si="31"/>
        <v>-1402.9</v>
      </c>
      <c r="Y58" s="66">
        <f t="shared" si="31"/>
        <v>0</v>
      </c>
      <c r="Z58" s="84">
        <f>SUM(Z55:Z57)</f>
        <v>9597.100000000002</v>
      </c>
      <c r="AA58" s="85"/>
      <c r="AB58" s="226">
        <f>SUM(AB55:AB57)</f>
        <v>427145.08999999997</v>
      </c>
      <c r="AC58" s="165">
        <f>AB58/(Z58*1000)</f>
        <v>0.04450772525033603</v>
      </c>
      <c r="AD58" s="58">
        <f>2/2*179.61-AB58</f>
        <v>-426965.48</v>
      </c>
      <c r="AE58" s="228">
        <f>Z58-3/3*11000*0-12/12*9597.1+(AB58-3/3*427145.09)</f>
        <v>-5.638867150992155E-11</v>
      </c>
      <c r="AF58" s="217">
        <f>SUM(AF55:AF57)</f>
        <v>9613046.32</v>
      </c>
      <c r="AG58" s="248">
        <f>SUM(AG55:AG57)</f>
        <v>1817680</v>
      </c>
      <c r="AH58" s="198">
        <f>M58-AF58-AG58</f>
        <v>0</v>
      </c>
      <c r="AJ58" s="217">
        <f>SUM(AJ55:AJ57)</f>
        <v>427145.08999999997</v>
      </c>
      <c r="AK58" s="259">
        <f>SUM(AK55:AK57)</f>
        <v>0</v>
      </c>
    </row>
    <row r="59" spans="1:37" ht="33.75">
      <c r="A59" s="269" t="s">
        <v>22</v>
      </c>
      <c r="B59" s="2">
        <v>2232</v>
      </c>
      <c r="C59" s="2">
        <v>2282</v>
      </c>
      <c r="D59" s="30">
        <f>2067.6*0+2160.8+44</f>
        <v>2204.8</v>
      </c>
      <c r="E59" s="37">
        <f>((174.28*12+48.64)+130-2270)+2232-2102+(2091+55)</f>
        <v>2276</v>
      </c>
      <c r="F59" s="37"/>
      <c r="G59" s="37"/>
      <c r="H59" s="37"/>
      <c r="I59" s="194">
        <v>137</v>
      </c>
      <c r="J59" s="37"/>
      <c r="K59" s="17">
        <f>SUM(E59:J59)</f>
        <v>2413</v>
      </c>
      <c r="L59" s="46" t="s">
        <v>38</v>
      </c>
      <c r="M59" s="243">
        <f>1587*0+2/2*178257*0+3/3*389589*0+4/4*550600*0+5/5*733284*0+6/6*875043*0+7/7*1041759*0+8/8*1218113*0+9/9*1399101*0+10/10*1595499*0+11/11*1749842*0+12/12*2536446</f>
        <v>2536446</v>
      </c>
      <c r="N59" s="164">
        <f t="shared" si="29"/>
        <v>1.051158723580605</v>
      </c>
      <c r="O59" s="272">
        <f>O60-O61</f>
        <v>-2017450.5</v>
      </c>
      <c r="P59" s="184" t="s">
        <v>103</v>
      </c>
      <c r="Q59" s="2">
        <v>300</v>
      </c>
      <c r="R59" s="2">
        <v>300</v>
      </c>
      <c r="S59" s="21">
        <v>98.7</v>
      </c>
      <c r="T59" s="21">
        <v>0</v>
      </c>
      <c r="U59" s="37"/>
      <c r="V59" s="37"/>
      <c r="W59" s="37"/>
      <c r="X59" s="16"/>
      <c r="Y59" s="37"/>
      <c r="Z59" s="194">
        <f>12/12*(10/10)*140</f>
        <v>140</v>
      </c>
      <c r="AA59" s="12"/>
      <c r="AB59" s="247">
        <f>3/3*15065.16+6/6*32316.21+9/9*57551.39+12/12*18362.41+(10/10)*(52.06*0+6/6*104.59*0+9/9*157.59*0+12/12*198.55)</f>
        <v>123493.72</v>
      </c>
      <c r="AE59" s="204">
        <f>47381.37*0+11/11*104932.76+10/10*104.59*0+11/11*157.59-AB59</f>
        <v>-18403.37000000001</v>
      </c>
      <c r="AF59" s="307">
        <f>1587*0+2/2*178257*0+3/3*389589*0+4/4*550600*0+5/5*733284*0+6/6*875043*0+7/7*1041759*0+8/8*1218113*0+9/9*1399101*0+10/10*1595499*0+11/11*1749842</f>
        <v>1749842</v>
      </c>
      <c r="AG59" s="53">
        <f aca="true" t="shared" si="32" ref="AG59:AG70">M59-AF59</f>
        <v>786604</v>
      </c>
      <c r="AH59" s="256" t="s">
        <v>256</v>
      </c>
      <c r="AI59" s="246">
        <f>AG59-((145590+201726+6900-354216)+(2044510-1704491-340019*0))-5138/5138*150000-(17053-10363-6690*0)-(72023-32128-39895*0)-250000</f>
        <v>0</v>
      </c>
      <c r="AJ59" s="288">
        <f>3/3*15065.16+6/6*32316.21+9/9*57551.39+(10/10)*(52.06*0+6/6*104.59*0+9/9*157.59)</f>
        <v>105090.34999999999</v>
      </c>
      <c r="AK59" s="240">
        <f aca="true" t="shared" si="33" ref="AK59:AK78">AB59-AJ59</f>
        <v>18403.37000000001</v>
      </c>
    </row>
    <row r="60" spans="1:37" ht="78.75">
      <c r="A60" s="1" t="s">
        <v>23</v>
      </c>
      <c r="B60" s="2">
        <f>40136+0+0+16/16*408</f>
        <v>40544</v>
      </c>
      <c r="C60" s="32">
        <f>42224.3+0+0+408-1519/2*2+551-112/112*1139</f>
        <v>40525.3</v>
      </c>
      <c r="D60" s="4">
        <f>10754.9+7396.1+18378.9+16/16*299.4+585.5+383+627.2+1352.1</f>
        <v>39777.1</v>
      </c>
      <c r="E60" s="68">
        <f>18500+9756+20069+16/16*400-E61-E62-E63-E64-9/9*E73*2/2</f>
        <v>17428</v>
      </c>
      <c r="F60" s="17"/>
      <c r="H60" s="106">
        <f>7/7*99/99*(150+93+6114/6114*32)+212*0+2209/2209*87-379.5</f>
        <v>-17.5</v>
      </c>
      <c r="I60" s="194">
        <f>(-80-86+46-100-580-406+406)+27+1/1*42+5410/5410*-160</f>
        <v>-891</v>
      </c>
      <c r="K60" s="14">
        <f aca="true" t="shared" si="34" ref="K60:K77">SUM(E60:J60)</f>
        <v>16519.5</v>
      </c>
      <c r="L60" s="13" t="s">
        <v>37</v>
      </c>
      <c r="M60" s="235">
        <f>8/8*22408988.63*0+9/9*25656751.12*0+10/10*29375402.77*0+11/11*32088167.64*0+12/12*37702464.85-(81/81*(32646*0+9/9*47926*0+11/11*53096*0+12/12*71786)-98005/98005*12/12*20713+98216/98216*(920*0+4/4*1840*0+5/5*2760*0+6/6*671039*0+9/9*1112470*0+11/11*1115110*0+12/12*2059547.41)+98116/98116*226100)+(1/1)*(2/2*116486*0+3/3*236015*0+5/5*235301*0+7/7*377117*0+10/10*481727*0+12/12*486107)+(3/3)*(2/2*59478*0+3/3*204427*0+4/4*321556*0+5/5*434231*0+6/6*507367*0+7/7*630910*0+8/8*752588*0+9/9*871022*0+10/10*1007212*0+11/11*1112424*0+12/12*929503)+107/107*(2/2*500*0*3/3+11/11*86165.6*0+12/12*9968)+5410/5410*15912*0+11109/11109*6945*0+1517/1517*3456*0+(231220/231220*(3/3*1319*0+4/4*484700*0+5/5*528519+6/6*7000+7/7*(-10000-2000)+12/12*(-1687*0+(5313-7000)))+2372/2372*(315000+189000+135000+135000+154440+267178.5+11/11*300000))+(10/10)*6310/6310*5163/5163*(159.5*0+6/6*319*0+9/9*478.5*0+12/12*638)-M61-M62-M63-M64+3111/3111*1368/1368*56100*0*8/8+6114/6114*(6055.26*0+12/12*9455.26)+6115/6115*(117+448)*0+12/12*58552</f>
        <v>12399780.199999997</v>
      </c>
      <c r="N60" s="164">
        <f t="shared" si="29"/>
        <v>0.7506147401555736</v>
      </c>
      <c r="O60" s="57">
        <f>6171/6171*37702464.85+(241455.26-232000)-98005/98005*20713-81/81*71786+1/1*486107+3/3*929503+107/107*9968+10/10*638+P65+P66</f>
        <v>39045637.11</v>
      </c>
      <c r="P60" s="38"/>
      <c r="Y60" s="27"/>
      <c r="AD60" s="62">
        <f>AB62+AB24+AB21-2/2*3264000</f>
        <v>16314000.004705131</v>
      </c>
      <c r="AE60" s="103"/>
      <c r="AF60" s="33">
        <f>720048.23*0+2/2*3938325.7*0+3/3*7258965.96*0+4/4*10593358.61*0+5/5*13411174.02*0+6/6*16846579.1*0+7/7*19666079.05*0+8/8*22408988.63*0+9/9*25656751.12*0+10/10*29375402.77*0+11/11*32088167.64-(81/81*(32646*0+9/9*47926*0+11/11*53096)+98216/98216*(920*0+4/4*1840*0+5/5*2760*0+6/6*671039*0+9/9*1112470*0+11/11*1115110)+98116/98116*226100)+(1/1)*(2/2*116486*0+3/3*236015*0+5/5*235301*0+7/7*377117*0+10/10*481727)+(3/3)*(2/2*59478*0+3/3*204427*0+4/4*321556*0+5/5*434231*0+6/6*507367*0+7/7*630910*0+8/8*752588*0+9/9*871022*0+10/10*1007212*0+11/11*1112424)+(107/107)*2/2*500*0*3/3+5410/5410*15912*0+11109/11109*6945*0+1517/1517*3456*0+(231220/231220*(3/3*1319*0+4/4*484700*0+5/5*528519+6/6*7000+7/7*(-10000-2000))+2372/2372*(315000+189000+135000+135000+154440+267178.5+11/11*300000))+(10/10)*6310/6310*5163/5163*(159.5*0+6/6*319*0+9/9*478.5)-AF61-AF62-AF63-AF64+3111/3111*1368/1368*56100*0*8/8+11/11*107/107*86165.6+6114/6114*6055.26+6115/6115*(117+448)*0</f>
        <v>11723349.5</v>
      </c>
      <c r="AG60" s="53">
        <f t="shared" si="32"/>
        <v>676430.6999999974</v>
      </c>
      <c r="AH60" s="251" t="s">
        <v>255</v>
      </c>
      <c r="AI60" s="246">
        <f>AG60+(-(35872.5-32078.5-3794*0)-(371844.9-326494.9-45350*0)-(843706.02-759857.66-83848.36*0)-(230-180-50*0)-(99368.78-92803.11-6565.67*0)-(551576-451508-100068*0)-(577531.12-543975.97-33555.15*0)-(53649.5-41763-11886.5*0)-(3300-2640-660*0)-(582820-525220-57600*0)-(185874+9630-183164-5400-6940*0)-(2738296.67-2827982.17+89685.5*0)-(108760-104430-4330*0)-(58358-56472-1886*0)-(0-18700-99921+118621*0)-(37779-0-37779*0)-(9900-6500-3400*0)-(56954-46073-10881*0)-(200000-170000-30000*0)-(923662.6-545035-378627.6*0)-(171979-63166-108813*0)-(93473.16-85683.73-7789.43*0)+725517.21*0)-(486107-481727-4380*0)-107/107*(9968-86165.6+76197.6*0)-(5313-7000+1687*0)</f>
        <v>24418.08999999732</v>
      </c>
      <c r="AK60" s="240">
        <f t="shared" si="33"/>
        <v>0</v>
      </c>
    </row>
    <row r="61" spans="1:37" ht="22.5">
      <c r="A61" s="1" t="s">
        <v>81</v>
      </c>
      <c r="C61" s="32"/>
      <c r="D61" s="4"/>
      <c r="E61" s="68">
        <f>(7409+593)*(1+0.09+0.25)+45+0.82+0.5+33</f>
        <v>10802</v>
      </c>
      <c r="F61" s="17"/>
      <c r="I61" s="194">
        <f>-2140+140-I62-I63-I64</f>
        <v>-2000</v>
      </c>
      <c r="K61" s="14">
        <f t="shared" si="34"/>
        <v>8802</v>
      </c>
      <c r="L61" s="13"/>
      <c r="M61" s="200">
        <f>1/1*870533+2/2*999830+3/3*1106077+4/4*(1063998*0+902637)+5/5*889066+6/6*1167820-9021/9021*(123/123*((354873+31736+88110)*0+(321488+28731+79766))+456/456*(324190+28976+80438))+7/7*963865+8/8*967886+9/9*1206378+10/10*1012718-(317350+28359+78726)+(11/11*1005529+12/12*1006583)-9021/9021*(313865+28044+77858+(102874+9276+25711))</f>
        <v>10253270</v>
      </c>
      <c r="N61" s="164">
        <f t="shared" si="29"/>
        <v>1.1648795728243582</v>
      </c>
      <c r="O61" s="240">
        <f>SUM(M60:M64,M99,M100,-P97)</f>
        <v>41063087.61</v>
      </c>
      <c r="P61" s="38"/>
      <c r="T61" s="37"/>
      <c r="Y61" s="27"/>
      <c r="AA61" s="23"/>
      <c r="AC61" s="164"/>
      <c r="AE61" s="130">
        <f>AB62-Z62*1000</f>
        <v>0</v>
      </c>
      <c r="AF61" s="200">
        <f>1/1*870533+2/2*999830+3/3*1106077+4/4*(1063998*0+902637)+5/5*889066+6/6*1167820-9021/9021*(123/123*((354873+31736+88110)*0+(321488+28731+79766))+456/456*(324190+28976+80438))+7/7*963865+8/8*967886+9/9*1206378+10/10*1012718-(317350+28359+78726)</f>
        <v>8798786</v>
      </c>
      <c r="AG61" s="53">
        <f t="shared" si="32"/>
        <v>1454484</v>
      </c>
      <c r="AH61" s="256" t="s">
        <v>248</v>
      </c>
      <c r="AI61" s="246">
        <f>AG61-(1005529+1006583-2012112*0)+((313865+28044+77858-419767*0)+(102874+9276+25711-137861*0))</f>
        <v>0</v>
      </c>
      <c r="AK61" s="240">
        <f t="shared" si="33"/>
        <v>0</v>
      </c>
    </row>
    <row r="62" spans="1:39" ht="24.75" customHeight="1">
      <c r="A62" s="1" t="s">
        <v>82</v>
      </c>
      <c r="C62" s="32"/>
      <c r="D62" s="4"/>
      <c r="E62" s="68">
        <f>(12342+988)*(1+0.09+0.25)+0.3+0.5</f>
        <v>17863</v>
      </c>
      <c r="F62" s="17"/>
      <c r="I62" s="16"/>
      <c r="K62" s="14">
        <f t="shared" si="34"/>
        <v>17863</v>
      </c>
      <c r="L62" s="13"/>
      <c r="M62" s="33">
        <f>1/1*1592825+2/2*1577376+3/3*(1537789*0+1755489)+4/4*(1642780*0+1521903)+5/5*(1320038*0+1516175*0+1519471)+6/6*(1802888*0+1804418-9021/9021*(123/123*(474719*0+429985)+456/456*433604))+7/7*(7/7)*1513914+(8/8)*(1527600*0+1527599)+9/9*1801074+10/10*1468444+(11/11*1452073+12/12*1451020)-M63-M64-(M99-(P97+P98))-M100</f>
        <v>15645856</v>
      </c>
      <c r="N62" s="164">
        <f t="shared" si="29"/>
        <v>0.8758806471477355</v>
      </c>
      <c r="O62" s="57">
        <f>13602312-M62</f>
        <v>-2043544</v>
      </c>
      <c r="P62" s="183" t="s">
        <v>102</v>
      </c>
      <c r="Q62" s="2">
        <v>9881</v>
      </c>
      <c r="R62" s="2">
        <v>8708</v>
      </c>
      <c r="S62" s="21">
        <v>8708</v>
      </c>
      <c r="T62" s="37">
        <f>((16/16*8408*3024/100-257.92)+((22683*551.69709758-145.26)+36.145*157974.906662-3.001))/1000</f>
        <v>18478.000004705133</v>
      </c>
      <c r="Y62" s="27"/>
      <c r="Z62" s="14">
        <f>SUM(T62:Y62)</f>
        <v>18478.000004705133</v>
      </c>
      <c r="AA62" s="23" t="s">
        <v>70</v>
      </c>
      <c r="AB62" s="264">
        <f>T62*1000*12/12+166.6662746*11*0</f>
        <v>18478000.00470513</v>
      </c>
      <c r="AC62" s="164">
        <f>AB62/(Z62*1000)</f>
        <v>1</v>
      </c>
      <c r="AE62" s="265">
        <f>AB62+AB21+AB24-5/5*8160000*0-6/6*9792000*0-8/8*13056000*0-9/9*14688000*0-10/10*17952000*0-12/12*19578000</f>
        <v>0.0047051310539245605</v>
      </c>
      <c r="AF62" s="33">
        <f>1/1*1592825+2/2*1577376+3/3*(1537789*0+1755489)+4/4*(1642780*0+1521903)+5/5*(1320038*0+1516175*0+1519471)+6/6*(1802888*0+1804418-9021/9021*(123/123*(474719*0+429985)+456/456*433604))+7/7*(7/7*1513914+(8/8)*(1527600*0+1527599)+9/9*1801074+10/10*1468444)-AF63-AF64-AF99-AF100</f>
        <v>13161831</v>
      </c>
      <c r="AG62" s="53">
        <f>M62-AF62</f>
        <v>2484025</v>
      </c>
      <c r="AH62" s="256" t="s">
        <v>246</v>
      </c>
      <c r="AI62" s="246">
        <f>AG62-(1260229+107/107*5400+1218496)</f>
        <v>-100</v>
      </c>
      <c r="AJ62" s="287">
        <f>Z62*1000*11/12+166.6662746*11</f>
        <v>16940000.000000305</v>
      </c>
      <c r="AK62" s="240">
        <f>AB62-AJ62</f>
        <v>1538000.0047048256</v>
      </c>
      <c r="AL62" s="283" t="s">
        <v>92</v>
      </c>
      <c r="AM62" s="283">
        <f>AK62/(Z62*1000)*12</f>
        <v>0.9988093977572453</v>
      </c>
    </row>
    <row r="63" spans="1:37" ht="12.75">
      <c r="A63" s="1" t="s">
        <v>83</v>
      </c>
      <c r="C63" s="32"/>
      <c r="D63" s="4"/>
      <c r="E63" s="68">
        <f>(1199+96)*(1+0.09+0.25)+0.45+0.25</f>
        <v>1736.0000000000002</v>
      </c>
      <c r="F63" s="106">
        <f>-F99+2*369.9*5/5+7/7*427.8+10/10*427.8</f>
        <v>0</v>
      </c>
      <c r="I63" s="16"/>
      <c r="K63" s="14">
        <f t="shared" si="34"/>
        <v>1736.0000000000002</v>
      </c>
      <c r="L63" s="13"/>
      <c r="M63" s="33">
        <f>1/1*124116+2/2*135872+3/3*147557+4/4*(138614*0+128071)+5/5*132763-100+6/6*156504+7/7*(154955*0+129872)+8/8*154955+9/9*152565+10/10*123342+(11/11*128291+12/12*157641)-(M99+(-3/3*920-4/4*920-5/5*920-11/11*2640)*0-12/12*(P97+P98)-100)</f>
        <v>0</v>
      </c>
      <c r="N63" s="164">
        <f t="shared" si="29"/>
        <v>0</v>
      </c>
      <c r="O63" s="240">
        <f>1671549-(M63+(M99-P98-P97))</f>
        <v>0</v>
      </c>
      <c r="P63" s="38"/>
      <c r="T63" s="37"/>
      <c r="Y63" s="27"/>
      <c r="AA63" s="23"/>
      <c r="AC63" s="164"/>
      <c r="AF63" s="33">
        <f>1/1*124116+2/2*135872+3/3*147557+4/4*(138614*0+128071)+5/5*132763-100+6/6*156504+7/7*(154955*0+129872)+8/8*154955+9/9*152565+10/10*123342-(AF99-3/3*920-4/4*920-5/5*920-11/11*2640)</f>
        <v>275807</v>
      </c>
      <c r="AG63" s="53">
        <f t="shared" si="32"/>
        <v>-275807</v>
      </c>
      <c r="AH63" s="256" t="s">
        <v>247</v>
      </c>
      <c r="AI63" s="55">
        <f>AG63-(128291+157641)+(1671549-1109710)</f>
        <v>100</v>
      </c>
      <c r="AK63" s="240">
        <f t="shared" si="33"/>
        <v>0</v>
      </c>
    </row>
    <row r="64" spans="1:37" ht="12.75">
      <c r="A64" s="1" t="s">
        <v>84</v>
      </c>
      <c r="C64" s="32"/>
      <c r="D64" s="4"/>
      <c r="E64" s="68">
        <f>(568+46)*(1+0.09+0.25)+0.74+0.5</f>
        <v>824.0000000000001</v>
      </c>
      <c r="F64" s="17">
        <f>-F100+226.1</f>
        <v>0</v>
      </c>
      <c r="I64" s="16"/>
      <c r="K64" s="14">
        <f t="shared" si="34"/>
        <v>824.0000000000001</v>
      </c>
      <c r="L64" s="13"/>
      <c r="M64" s="33">
        <f>1/1*63343+2/2*67014+3/3*70143+4/4*(69914*0+64238)+5/5*63374+6/6*71484+7/7*(63530*0+64439)+8/8*63530+9/9*75078+10/10*63533+(11/11*63553+12/12*74883)-M100</f>
        <v>578512</v>
      </c>
      <c r="N64" s="164">
        <f t="shared" si="29"/>
        <v>0.7020776699029125</v>
      </c>
      <c r="O64" s="240">
        <f>804612-(M64+M100)</f>
        <v>0</v>
      </c>
      <c r="P64" s="38"/>
      <c r="T64" s="37"/>
      <c r="Y64" s="27"/>
      <c r="AA64" s="23"/>
      <c r="AC64" s="164"/>
      <c r="AF64" s="33">
        <f>1/1*63343+2/2*67014+3/3*70143+4/4*(69914*0+64238)+5/5*63374+6/6*71484+7/7*(63530*0+64439)+8/8*63530+9/9*75078+10/10*63533-AF100</f>
        <v>440076</v>
      </c>
      <c r="AG64" s="53">
        <f t="shared" si="32"/>
        <v>138436</v>
      </c>
      <c r="AH64" s="256" t="s">
        <v>246</v>
      </c>
      <c r="AI64" s="55">
        <f>AG64-(63553+74883)</f>
        <v>0</v>
      </c>
      <c r="AK64" s="240">
        <f t="shared" si="33"/>
        <v>0</v>
      </c>
    </row>
    <row r="65" spans="1:37" ht="12.75">
      <c r="A65" s="269" t="s">
        <v>87</v>
      </c>
      <c r="C65" s="32"/>
      <c r="D65" s="4"/>
      <c r="E65" s="68"/>
      <c r="F65" s="17"/>
      <c r="I65" s="194">
        <v>7</v>
      </c>
      <c r="K65" s="14">
        <f t="shared" si="34"/>
        <v>7</v>
      </c>
      <c r="L65" s="13"/>
      <c r="M65" s="235">
        <f>2/2*6945</f>
        <v>6945</v>
      </c>
      <c r="N65" s="229">
        <f t="shared" si="29"/>
        <v>0.9921428571428571</v>
      </c>
      <c r="O65" s="57" t="s">
        <v>210</v>
      </c>
      <c r="P65" s="38"/>
      <c r="T65" s="37"/>
      <c r="Y65" s="27"/>
      <c r="AA65" s="23"/>
      <c r="AC65" s="164"/>
      <c r="AF65" s="33">
        <f>2/2*6945</f>
        <v>6945</v>
      </c>
      <c r="AG65" s="53">
        <f t="shared" si="32"/>
        <v>0</v>
      </c>
      <c r="AH65" s="255" t="s">
        <v>97</v>
      </c>
      <c r="AI65" s="55">
        <f>AG65-11/11*0</f>
        <v>0</v>
      </c>
      <c r="AK65" s="240">
        <f t="shared" si="33"/>
        <v>0</v>
      </c>
    </row>
    <row r="66" spans="1:37" ht="23.25">
      <c r="A66" s="270" t="s">
        <v>166</v>
      </c>
      <c r="C66" s="32"/>
      <c r="D66" s="4"/>
      <c r="E66" s="68"/>
      <c r="F66" s="17"/>
      <c r="I66" s="194">
        <v>30</v>
      </c>
      <c r="K66" s="14">
        <f>SUM(E66:J66)</f>
        <v>30</v>
      </c>
      <c r="L66" s="13"/>
      <c r="M66" s="235">
        <f>8/8*30000</f>
        <v>30000</v>
      </c>
      <c r="N66" s="229">
        <f t="shared" si="29"/>
        <v>1</v>
      </c>
      <c r="O66" s="57" t="s">
        <v>211</v>
      </c>
      <c r="P66" s="38"/>
      <c r="T66" s="37"/>
      <c r="Y66" s="27"/>
      <c r="AA66" s="23"/>
      <c r="AC66" s="164"/>
      <c r="AF66" s="33">
        <f>8/8*30000</f>
        <v>30000</v>
      </c>
      <c r="AG66" s="53">
        <f>M66-AF66</f>
        <v>0</v>
      </c>
      <c r="AH66" s="255" t="s">
        <v>97</v>
      </c>
      <c r="AI66" s="55">
        <f>AG66-11/11*0</f>
        <v>0</v>
      </c>
      <c r="AK66" s="240"/>
    </row>
    <row r="67" spans="1:38" ht="12.75">
      <c r="A67" s="271" t="s">
        <v>105</v>
      </c>
      <c r="B67" s="2">
        <f>500+440+215+25</f>
        <v>1180</v>
      </c>
      <c r="C67" s="31">
        <f>500+(440+11/11*125)+215+25</f>
        <v>1305</v>
      </c>
      <c r="D67" s="2">
        <f>373+565+145.5+16</f>
        <v>1099.5</v>
      </c>
      <c r="E67" s="68">
        <f>380+530*0+150*0</f>
        <v>380</v>
      </c>
      <c r="F67" s="17"/>
      <c r="H67" s="106">
        <f>200*0*5/5</f>
        <v>0</v>
      </c>
      <c r="I67" s="194">
        <f>32+169-74+33-20</f>
        <v>140</v>
      </c>
      <c r="K67" s="14">
        <f t="shared" si="34"/>
        <v>520</v>
      </c>
      <c r="L67" s="9" t="s">
        <v>66</v>
      </c>
      <c r="M67" s="235">
        <f>46940*0+2/2*171123*0+3/3*225652.88*0+4/4*298558.82*0+5/5*296389.56*0+6/6*324693.5*0+7/7*390116.04*0+8/8*426380.59*0+9/9*466864.53*0+10/10*547023.08*0+11/11*484363.4*0+12/12*589298.1</f>
        <v>589298.1</v>
      </c>
      <c r="N67" s="164">
        <f t="shared" si="29"/>
        <v>1.1332655769230768</v>
      </c>
      <c r="P67" s="79" t="s">
        <v>104</v>
      </c>
      <c r="S67" s="21">
        <v>251.8</v>
      </c>
      <c r="T67" s="27"/>
      <c r="Y67" s="27"/>
      <c r="Z67" s="14">
        <f aca="true" t="shared" si="35" ref="Z67:Z78">SUM(T67:Y67)</f>
        <v>0</v>
      </c>
      <c r="AB67" s="55">
        <f>22500+2/2*33000+3/3*25500+4/4*24500+5/5*21000+6/6*23750+7/7*22250+8/8*22250+9/9*(23750+17500)+10/10*25250+11/11*25250+12/12*22250</f>
        <v>308750</v>
      </c>
      <c r="AF67" s="33">
        <f>46940*0+2/2*171123*0+3/3*225652.88*0+4/4*298558.82*0+5/5*296389.56*0+6/6*324693.5*0+7/7*390116.04*0+8/8*426380.59*0+9/9*466864.53*0+10/10*547023.08*0+11/11*484363.4</f>
        <v>484363.4</v>
      </c>
      <c r="AG67" s="53">
        <f t="shared" si="32"/>
        <v>104934.69999999995</v>
      </c>
      <c r="AH67" s="254" t="s">
        <v>245</v>
      </c>
      <c r="AI67" s="55">
        <f>AG67-(56379-40149-16230*0)-(236450.1-175059-61391.1*0)-(35152-24096.4-11055.6*0)-16258</f>
        <v>-5.093170329928398E-11</v>
      </c>
      <c r="AJ67" s="287">
        <f>22500+2/2*33000+3/3*25500+4/4*24500+5/5*21000+6/6*23750+7/7*22250+8/8*22250+9/9*(23750+17500)+10/10*25250+11/11*25250</f>
        <v>286500</v>
      </c>
      <c r="AK67" s="240">
        <f t="shared" si="33"/>
        <v>22250</v>
      </c>
      <c r="AL67" s="283" t="s">
        <v>91</v>
      </c>
    </row>
    <row r="68" spans="1:37" ht="24.75" customHeight="1">
      <c r="A68" s="271" t="s">
        <v>197</v>
      </c>
      <c r="C68" s="31"/>
      <c r="E68" s="68">
        <f>380*0+530+150*0</f>
        <v>530</v>
      </c>
      <c r="F68" s="17"/>
      <c r="I68" s="194">
        <f>80+87+29</f>
        <v>196</v>
      </c>
      <c r="K68" s="14">
        <f t="shared" si="34"/>
        <v>726</v>
      </c>
      <c r="L68" s="9" t="s">
        <v>65</v>
      </c>
      <c r="M68" s="235">
        <f>64860*0+2/2*115501*0+3/3*150865.88*0+4/4*240367.82*0+5/5*282489.96*0+6/6*363652.2*0+7/7*373434.14*0+8/8*388772.01*0+9/9*452322.95*0+10/10*496930.83*0+11/11*481999.51*0+12/12*643695.84+2323/2323*(340*0+7/7*2040*0+12/12*14730)</f>
        <v>658425.84</v>
      </c>
      <c r="N68" s="164">
        <f t="shared" si="29"/>
        <v>0.9069226446280991</v>
      </c>
      <c r="O68" s="240">
        <f>643695.84+14730-M68</f>
        <v>0</v>
      </c>
      <c r="P68" s="33"/>
      <c r="T68" s="27"/>
      <c r="V68" s="17"/>
      <c r="W68" s="17"/>
      <c r="X68" s="135"/>
      <c r="Y68" s="68"/>
      <c r="Z68" s="17">
        <f t="shared" si="35"/>
        <v>0</v>
      </c>
      <c r="AA68" s="12"/>
      <c r="AB68" s="105"/>
      <c r="AF68" s="33">
        <f>64860*0+2/2*115501*0+3/3*150865.88*0+4/4*240367.82*0+5/5*282489.96*0+6/6*363652.2*0+7/7*373434.14*0+8/8*388772.01*0+9/9*452322.95*0+10/10*496930.83*0+11/11*481999.51+2323/2323*(340*0+7/7*2040)</f>
        <v>484039.51</v>
      </c>
      <c r="AG68" s="53">
        <f t="shared" si="32"/>
        <v>174386.32999999996</v>
      </c>
      <c r="AH68" s="145" t="s">
        <v>267</v>
      </c>
      <c r="AI68" s="55">
        <f>AG68-(94123.14-67408.01-26715.13*0)-(206489.5-71508.3-134981.2*0)+(-130631-3290-44767)*0-2323/2323*(14730-2040-12690*0)</f>
        <v>-5.820766091346741E-11</v>
      </c>
      <c r="AJ68" s="288"/>
      <c r="AK68" s="240">
        <f t="shared" si="33"/>
        <v>0</v>
      </c>
    </row>
    <row r="69" spans="1:37" ht="22.5">
      <c r="A69" s="271" t="s">
        <v>64</v>
      </c>
      <c r="C69" s="31"/>
      <c r="E69" s="68">
        <f>380*0+530*0+150</f>
        <v>150</v>
      </c>
      <c r="F69" s="205"/>
      <c r="G69" s="28"/>
      <c r="H69" s="106">
        <f>70*0*5/5</f>
        <v>0</v>
      </c>
      <c r="I69" s="194">
        <f>35-21+154-52-6</f>
        <v>110</v>
      </c>
      <c r="J69" s="28"/>
      <c r="K69" s="14">
        <f t="shared" si="34"/>
        <v>260</v>
      </c>
      <c r="L69" s="9" t="s">
        <v>67</v>
      </c>
      <c r="M69" s="235">
        <f>30234*0+2/2*53970*0+3/3*75569.02*0+4/4*111310.53*0+5/5*125697.84*0+6/6*137439.35*0+7/7*225432.86*0+8/8*235213.35*0+9/9*242418.86*0+10/10*285009.33*0+11/11*238612.97*0+12/12*274938.04-P97</f>
        <v>174960.03999999998</v>
      </c>
      <c r="N69" s="164">
        <f t="shared" si="29"/>
        <v>0.6729232307692307</v>
      </c>
      <c r="O69" s="240">
        <f>274938.04-P97-M69</f>
        <v>0</v>
      </c>
      <c r="P69" s="33"/>
      <c r="T69" s="27"/>
      <c r="U69" s="28"/>
      <c r="V69" s="205"/>
      <c r="W69" s="205"/>
      <c r="X69" s="135"/>
      <c r="Y69" s="68"/>
      <c r="Z69" s="17">
        <f t="shared" si="35"/>
        <v>0</v>
      </c>
      <c r="AA69" s="12"/>
      <c r="AB69" s="105"/>
      <c r="AF69" s="33">
        <f>30234*0+2/2*53970*0+3/3*75569.02*0+4/4*111310.53*0+5/5*125697.84*0+6/6*137439.35*0+7/7*225432.86*0+8/8*235213.35*0+9/9*242418.86*0+10/10*285009.33*0+11/11*238612.97</f>
        <v>238612.97</v>
      </c>
      <c r="AG69" s="53">
        <f t="shared" si="32"/>
        <v>-63652.93000000002</v>
      </c>
      <c r="AH69" s="145" t="s">
        <v>244</v>
      </c>
      <c r="AI69" s="55">
        <f>AG69-98216/98216*-99978-(21632+(25232-3600-21632*0)*0)-(14896.4-12819.8-2076.6*0)-(48891.64-36275.17-12616.47*0)</f>
        <v>-2.3646862246096134E-11</v>
      </c>
      <c r="AJ69" s="288"/>
      <c r="AK69" s="240">
        <f t="shared" si="33"/>
        <v>0</v>
      </c>
    </row>
    <row r="70" spans="1:38" ht="12.75">
      <c r="A70" s="271" t="s">
        <v>85</v>
      </c>
      <c r="C70" s="31"/>
      <c r="E70" s="26">
        <f>181*0*6171/6171</f>
        <v>0</v>
      </c>
      <c r="F70" s="205"/>
      <c r="G70" s="28"/>
      <c r="H70" s="205"/>
      <c r="I70" s="194">
        <f>160</f>
        <v>160</v>
      </c>
      <c r="J70" s="28"/>
      <c r="K70" s="81">
        <f t="shared" si="34"/>
        <v>160</v>
      </c>
      <c r="L70" s="9"/>
      <c r="M70" s="235">
        <f>5410/5410*15912*0+2/2*30312*0+3/3*44712*0+4/4*59112*0+5/5*73512*0+6/6*87912*0+7/7*102312*0+8/8*116712*0+9/9*131112*0+10/10*145512*0+11/11*163152*0+12/12*180792</f>
        <v>180792</v>
      </c>
      <c r="N70" s="229">
        <f t="shared" si="29"/>
        <v>1.12995</v>
      </c>
      <c r="P70" s="185" t="s">
        <v>108</v>
      </c>
      <c r="T70" s="27"/>
      <c r="U70" s="28"/>
      <c r="V70" s="205"/>
      <c r="W70" s="106">
        <f>300*0*5/5</f>
        <v>0</v>
      </c>
      <c r="X70" s="106">
        <f>350*0*9/9+12/12*430</f>
        <v>430</v>
      </c>
      <c r="Y70" s="106"/>
      <c r="Z70" s="106">
        <f t="shared" si="35"/>
        <v>430</v>
      </c>
      <c r="AA70" s="12"/>
      <c r="AB70" s="247">
        <f>3/3*58400+4/4*117800+5/5*12800+6/6*75300+7/7*50000+8/8*50000+9/9*8000+10/10*59500+11/11*74100+12/12*65100</f>
        <v>571000</v>
      </c>
      <c r="AC70" s="229">
        <f>AB70/((Z70+261*0)*1000)</f>
        <v>1.327906976744186</v>
      </c>
      <c r="AF70" s="33">
        <f>5410/5410*15912*0+2/2*30312*0+3/3*44712*0+4/4*59112*0+5/5*73512*0+6/6*87912*0+7/7*102312*0+8/8*116712*0+9/9*131112*0+10/10*145512*0+11/11*163152</f>
        <v>163152</v>
      </c>
      <c r="AG70" s="53">
        <f t="shared" si="32"/>
        <v>17640</v>
      </c>
      <c r="AH70" s="145" t="s">
        <v>186</v>
      </c>
      <c r="AI70" s="55">
        <f>AG70-(180792-163152)</f>
        <v>0</v>
      </c>
      <c r="AJ70" s="288">
        <f>3/3*58400+4/4*117800+5/5*12800+6/6*75300+7/7*50000+8/8*50000+9/9*8000+10/10*59500+11/11*74100</f>
        <v>505900</v>
      </c>
      <c r="AK70" s="240">
        <f t="shared" si="33"/>
        <v>65100</v>
      </c>
      <c r="AL70" s="283" t="s">
        <v>119</v>
      </c>
    </row>
    <row r="71" spans="1:37" ht="12.75">
      <c r="A71" s="1" t="s">
        <v>24</v>
      </c>
      <c r="C71" s="32">
        <f>71+119+1708</f>
        <v>1898</v>
      </c>
      <c r="D71" s="2">
        <f>71.4+119+1708</f>
        <v>1898.4</v>
      </c>
      <c r="E71" s="68"/>
      <c r="F71" s="17"/>
      <c r="I71" s="16"/>
      <c r="K71" s="14">
        <f t="shared" si="34"/>
        <v>0</v>
      </c>
      <c r="P71" s="80" t="s">
        <v>106</v>
      </c>
      <c r="Q71" s="2">
        <v>500</v>
      </c>
      <c r="R71" s="2">
        <v>500</v>
      </c>
      <c r="S71" s="21">
        <v>500</v>
      </c>
      <c r="T71" s="27">
        <v>0</v>
      </c>
      <c r="V71" s="17"/>
      <c r="W71" s="17"/>
      <c r="X71" s="135"/>
      <c r="Y71" s="68"/>
      <c r="Z71" s="17">
        <f t="shared" si="35"/>
        <v>0</v>
      </c>
      <c r="AA71" s="12"/>
      <c r="AB71" s="105">
        <f>18800*0+2/2*103500+4/4*-103500</f>
        <v>0</v>
      </c>
      <c r="AG71" s="53">
        <f aca="true" t="shared" si="36" ref="AG71:AG78">M71-AF71</f>
        <v>0</v>
      </c>
      <c r="AH71" s="232" t="s">
        <v>97</v>
      </c>
      <c r="AI71" s="247">
        <f>AG71-7/7*47052*0-8/8*21360*0</f>
        <v>0</v>
      </c>
      <c r="AJ71" s="288">
        <f>18800*0+2/2*103500+4/4*-103500</f>
        <v>0</v>
      </c>
      <c r="AK71" s="240">
        <f t="shared" si="33"/>
        <v>0</v>
      </c>
    </row>
    <row r="72" spans="1:39" ht="12.75">
      <c r="A72" s="269" t="s">
        <v>25</v>
      </c>
      <c r="B72" s="2">
        <f>0+45+10+2+0+0</f>
        <v>57</v>
      </c>
      <c r="C72" s="32">
        <f>0+76+71+2+0+0+(36+52+139+213)</f>
        <v>589</v>
      </c>
      <c r="D72" s="2">
        <f>3+34+58+38.4+51.6+138.8+213.1</f>
        <v>536.9</v>
      </c>
      <c r="E72" s="68"/>
      <c r="F72" s="17"/>
      <c r="H72" s="106">
        <f>(7/7*99/99*(150+93+6114/6114*32)+212*0+2209/2209*87-379.5+17.5*9/9)*0+9/9*(160610/160610*221*0+(10610/10610*62+40610/40610*22+50610/50610*125+190610/190610*12-221)*0+7/7*99/99*212+2209/2209*8.5)+9</f>
        <v>229.5</v>
      </c>
      <c r="I72" s="194">
        <f>(15+6+2+15+17)+(6+13+7+174)</f>
        <v>255</v>
      </c>
      <c r="K72" s="14">
        <f t="shared" si="34"/>
        <v>484.5</v>
      </c>
      <c r="M72" s="235">
        <f>5/5*(10610/10610*(11973*0+6112/6112*(11561*0+9/9*16561)+6/6*(6171/6171*49338*0+7/7*53187)+40610/40610*(1324*0+6/6*(6112/6112*(3124.9*0+3149*0+9/9*9419)+6171/6171*(18513*0+7/7*18643)))+506/506*6/6*(6112/6112*(4931*0+7/7*11931*0+9/9*18201*0+12/12*21706)+6171/6171*(117715*0+7/7*121519*0+12/12*127465))))+1505/1505*6112/6112*(6/6*1640*0+8/8*7640)+1906/1906*(6/6*6112/6112*(1227*0+7/7*3967)+6171/6171*(19086*0+7/7*20803))+9/9*91010/91010*(3319/3319*1709*0*12/12+6112/6112*13451+6171/6171*(10000*0+10/10*146312*0+11/11*161812*0+12/12*184568))+180910/180910*(10/10*9000*0+12/12*14646)</f>
        <v>492056</v>
      </c>
      <c r="N72" s="229">
        <f t="shared" si="29"/>
        <v>1.015595459236326</v>
      </c>
      <c r="O72" s="240">
        <f>69748+28062+149171+7640+24770+198019+14646</f>
        <v>492056</v>
      </c>
      <c r="P72" s="80" t="s">
        <v>107</v>
      </c>
      <c r="R72" s="2">
        <f>220+250+150</f>
        <v>620</v>
      </c>
      <c r="S72" s="21">
        <f>331.4+250+150</f>
        <v>731.4</v>
      </c>
      <c r="T72" s="27"/>
      <c r="V72" s="106">
        <f>3/3*3*30+4/4*25+5/5*(10*2+50+39)-5/5*224+160610/160610*261</f>
        <v>261</v>
      </c>
      <c r="W72" s="106">
        <f>3/3*3*30+4/4*25+5/5*(10*2+50+39)-5/5*224+160610/160610*261*0*9/9</f>
        <v>0</v>
      </c>
      <c r="X72" s="106">
        <v>70</v>
      </c>
      <c r="Y72" s="106"/>
      <c r="Z72" s="106">
        <f t="shared" si="35"/>
        <v>331</v>
      </c>
      <c r="AA72" s="12"/>
      <c r="AB72" s="247">
        <f>3/3*(2+1)*30000+4/4*25000+5/5*126000+10/10*70000+12/12*53000</f>
        <v>364000</v>
      </c>
      <c r="AC72" s="164">
        <f>AB72/((Z72+261*0)*1000)</f>
        <v>1.0996978851963746</v>
      </c>
      <c r="AF72" s="33">
        <f>5/5*(10610/10610*(11973*0+6112/6112*(11561*0+9/9*16561)+6/6*(6171/6171*49338*0+7/7*53187)+40610/40610*(1324*0+6/6*(6112/6112*(3124.9*0+3149*0+9/9*9419)+6171/6171*(18513*0+7/7*18643)))+506/506*6/6*(6112/6112*(4931*0+7/7*11931*0+9/9*18201)+6171/6171*(117715*0+7/7*121519))))+1505/1505*6112/6112*(6/6*1640*0+8/8*7640)+1906/1906*(6/6*6112/6112*(1227*0+7/7*3967)+6171/6171*(19086*0+7/7*20803))+9/9*91010/91010*(3319/3319*1709+6112/6112*13451+6171/6171*(10000*0+10/10*146312*0+11/11*161812))+10/10*180910/180910*9000</f>
        <v>455912</v>
      </c>
      <c r="AG72" s="53">
        <f t="shared" si="36"/>
        <v>36144</v>
      </c>
      <c r="AH72" s="245" t="s">
        <v>252</v>
      </c>
      <c r="AI72" s="55">
        <f>AG72-6112/6112*3505-6171/6171*(127380-121434-5946*0)-(181158+3410-161812-22756*0)-(14646-1709-9000-3937*0)</f>
        <v>0</v>
      </c>
      <c r="AJ72" s="288">
        <f>3/3*(2+1)*30000+4/4*25000+5/5*126000+10/10*70000</f>
        <v>311000</v>
      </c>
      <c r="AK72" s="240">
        <f t="shared" si="33"/>
        <v>53000</v>
      </c>
      <c r="AL72" s="289"/>
      <c r="AM72" s="289"/>
    </row>
    <row r="73" spans="1:38" ht="12.75">
      <c r="A73" s="269" t="s">
        <v>62</v>
      </c>
      <c r="C73" s="32"/>
      <c r="E73" s="68">
        <f>72</f>
        <v>72</v>
      </c>
      <c r="F73" s="17"/>
      <c r="G73" s="76">
        <f>160610/160610*30</f>
        <v>30</v>
      </c>
      <c r="I73" s="16"/>
      <c r="K73" s="14">
        <f t="shared" si="34"/>
        <v>102</v>
      </c>
      <c r="M73" s="235">
        <f>7170+4/4*7170+8/8*22088+10/10*10060</f>
        <v>46488</v>
      </c>
      <c r="N73" s="229">
        <f t="shared" si="29"/>
        <v>0.45576470588235296</v>
      </c>
      <c r="P73" s="80" t="s">
        <v>173</v>
      </c>
      <c r="T73" s="27"/>
      <c r="V73" s="17"/>
      <c r="W73" s="106">
        <f>5*0*5/5</f>
        <v>0</v>
      </c>
      <c r="X73" s="106">
        <v>69</v>
      </c>
      <c r="Y73" s="106"/>
      <c r="Z73" s="106">
        <f t="shared" si="35"/>
        <v>69</v>
      </c>
      <c r="AA73" s="12"/>
      <c r="AB73" s="247">
        <f>2/2*2322/2322*4995.77+7/7*2691+9/9*61296+11/11*10752+12/12*10822</f>
        <v>90556.77</v>
      </c>
      <c r="AC73" s="229">
        <f>AB73/((Z73+261*0)*1000)</f>
        <v>1.3124169565217392</v>
      </c>
      <c r="AF73" s="33">
        <f>7170+4/4*7170+8/8*22088+10/10*10060</f>
        <v>46488</v>
      </c>
      <c r="AG73" s="53">
        <f t="shared" si="36"/>
        <v>0</v>
      </c>
      <c r="AH73" s="145" t="s">
        <v>97</v>
      </c>
      <c r="AI73" s="55">
        <f>AG73-8/8*(40708-7170*(2+2)+10060)*0</f>
        <v>0</v>
      </c>
      <c r="AJ73" s="288">
        <f>2/2*2322/2322*4995.77+7/7*2691+9/9*61296+11/11*10752</f>
        <v>79734.77</v>
      </c>
      <c r="AK73" s="240">
        <f t="shared" si="33"/>
        <v>10822</v>
      </c>
      <c r="AL73" s="283" t="s">
        <v>97</v>
      </c>
    </row>
    <row r="74" spans="1:39" ht="12.75">
      <c r="A74" s="269" t="s">
        <v>63</v>
      </c>
      <c r="C74" s="32"/>
      <c r="E74" s="26">
        <f>400*0*6171/6171</f>
        <v>0</v>
      </c>
      <c r="H74" s="106">
        <f>50*12-600*5/5</f>
        <v>0</v>
      </c>
      <c r="I74" s="194">
        <f>610-189</f>
        <v>421</v>
      </c>
      <c r="K74" s="14">
        <f t="shared" si="34"/>
        <v>421</v>
      </c>
      <c r="M74" s="235">
        <f>50222.72*0+2/2*102799.62*0+4/4*155877.74*0+5/5*210786.14*0+6/6*318857.21*0+7/7*328267.21*0+8/8*387751.31*0+10/10*509317.97*0+11/11*570553.76*0+12/12*625527.36</f>
        <v>625527.36</v>
      </c>
      <c r="N74" s="229">
        <f t="shared" si="29"/>
        <v>1.4858132066508314</v>
      </c>
      <c r="P74" s="33"/>
      <c r="T74" s="27"/>
      <c r="V74" s="17"/>
      <c r="W74" s="17"/>
      <c r="X74" s="135"/>
      <c r="Y74" s="68"/>
      <c r="Z74" s="17">
        <f t="shared" si="35"/>
        <v>0</v>
      </c>
      <c r="AA74" s="12"/>
      <c r="AB74" s="105"/>
      <c r="AF74" s="33">
        <f>50222.72*0+2/2*102799.62*0+4/4*155877.74*0+5/5*210786.14*0+6/6*318857.21*0+7/7*328267.21*0+8/8*387751.31*0+10/10*509317.97*0+11/11*570553.76</f>
        <v>570553.76</v>
      </c>
      <c r="AG74" s="53">
        <f t="shared" si="36"/>
        <v>54973.59999999998</v>
      </c>
      <c r="AH74" s="145" t="s">
        <v>243</v>
      </c>
      <c r="AI74" s="55">
        <f>AG74-(33026.4+21947.2)</f>
        <v>0</v>
      </c>
      <c r="AJ74" s="288"/>
      <c r="AK74" s="240">
        <f t="shared" si="33"/>
        <v>0</v>
      </c>
      <c r="AL74" s="287" t="s">
        <v>97</v>
      </c>
      <c r="AM74" s="290" t="s">
        <v>97</v>
      </c>
    </row>
    <row r="75" spans="1:37" ht="12.75">
      <c r="A75" s="269" t="s">
        <v>69</v>
      </c>
      <c r="C75" s="32"/>
      <c r="E75" s="27"/>
      <c r="H75" s="106">
        <f>57*0*5/5</f>
        <v>0</v>
      </c>
      <c r="I75" s="194">
        <f>14+45+18+53</f>
        <v>130</v>
      </c>
      <c r="K75" s="14">
        <f t="shared" si="34"/>
        <v>130</v>
      </c>
      <c r="M75" s="235">
        <f>1/1*(57332*0+6112/6112*14304+6171/6171*(43028*0+5/5*62990))</f>
        <v>77294</v>
      </c>
      <c r="N75" s="229">
        <f t="shared" si="29"/>
        <v>0.5945692307692307</v>
      </c>
      <c r="P75" s="177" t="s">
        <v>174</v>
      </c>
      <c r="T75" s="27"/>
      <c r="V75" s="17"/>
      <c r="W75" s="17"/>
      <c r="X75" s="135"/>
      <c r="Y75" s="68"/>
      <c r="Z75" s="17">
        <f t="shared" si="35"/>
        <v>0</v>
      </c>
      <c r="AA75" s="12"/>
      <c r="AB75" s="105">
        <f>9/9*91010/91010*60896+10/10*(20906-2200-19/19-27/27-9021/9021*79600)</f>
        <v>0</v>
      </c>
      <c r="AF75" s="33">
        <f>1/1*(57332*0+6112/6112*14304+6171/6171*(43028*0+5/5*62990))</f>
        <v>77294</v>
      </c>
      <c r="AG75" s="53">
        <f t="shared" si="36"/>
        <v>0</v>
      </c>
      <c r="AH75" s="145" t="s">
        <v>97</v>
      </c>
      <c r="AI75" s="55">
        <f>AG75-0</f>
        <v>0</v>
      </c>
      <c r="AJ75" s="288">
        <f>9/9*91010/91010*60896+10/10*(20906-2200-19/19-27/27-9021/9021*79600)</f>
        <v>0</v>
      </c>
      <c r="AK75" s="240">
        <f t="shared" si="33"/>
        <v>0</v>
      </c>
    </row>
    <row r="76" spans="1:37" ht="22.5">
      <c r="A76" s="269" t="s">
        <v>196</v>
      </c>
      <c r="C76" s="32"/>
      <c r="E76" s="26">
        <f>200*0*6171/6171</f>
        <v>0</v>
      </c>
      <c r="H76" s="106"/>
      <c r="I76" s="194"/>
      <c r="K76" s="81">
        <f>SUM(E76:J76)</f>
        <v>0</v>
      </c>
      <c r="L76" s="83"/>
      <c r="M76" s="235">
        <f>12/12*(6112/6112*10357+6171/6171*59010)</f>
        <v>69367</v>
      </c>
      <c r="P76" s="177"/>
      <c r="T76" s="27"/>
      <c r="V76" s="17"/>
      <c r="W76" s="17"/>
      <c r="X76" s="135"/>
      <c r="Y76" s="68"/>
      <c r="Z76" s="17"/>
      <c r="AA76" s="12"/>
      <c r="AB76" s="105"/>
      <c r="AG76" s="53">
        <f>M76-AF76</f>
        <v>69367</v>
      </c>
      <c r="AH76" s="245" t="s">
        <v>251</v>
      </c>
      <c r="AI76" s="246">
        <f>AG76-6171/6171*(41010+18000)-6112/6112*10357</f>
        <v>0</v>
      </c>
      <c r="AJ76" s="288"/>
      <c r="AK76" s="240"/>
    </row>
    <row r="77" spans="1:37" ht="34.5">
      <c r="A77" s="269" t="s">
        <v>152</v>
      </c>
      <c r="B77" s="2">
        <v>987</v>
      </c>
      <c r="C77" s="2">
        <v>987</v>
      </c>
      <c r="D77" s="2">
        <v>191.4</v>
      </c>
      <c r="E77" s="27">
        <v>100</v>
      </c>
      <c r="H77" s="16">
        <f>1305/1305*(211+1)*9/9</f>
        <v>212</v>
      </c>
      <c r="I77" s="194">
        <f>1305/1305*211*0*9/9+12/12*(1379/1379*(10+16+3)+(1+2+3+2)+6115/6115*32)</f>
        <v>69</v>
      </c>
      <c r="K77" s="14">
        <f t="shared" si="34"/>
        <v>381</v>
      </c>
      <c r="L77" s="12" t="s">
        <v>68</v>
      </c>
      <c r="M77" s="235">
        <f>4/4*336+153/153*(1000*0+2/2*-1017*0+5/5*1436*0+8/8*1716*0+11/11*1996)+2105/2105*(2/2*-510*0+5/5*-460*0+8/8*-410*0+11/11*-360)+(1379/1379)*(3/3*22772.46*0*4/4+5/5*13336.23*0+6/6*(5152/5152*(2*11386.23*0*7/7+8/8*35783.23*0+9/9*47169.46*0+10/10*58555.69*0+11/11*84596.2)+5169/5169*1950+5154/5154*13875))+5/5*1075/1075*3110.4+(6/6*6114/6114+10/10*6115/6115)*64*500+1305/1305*(194793*0+7/7*211445)+410303/410303*(1000+10/10*1000+11/11*1000)+7/7*(1066/1066*600+1074/1074*1935)+9/9*143719/143719*50+10/10*(21010/21010*546+1463/1463*12000*0*12/12)</f>
        <v>387079.6</v>
      </c>
      <c r="N77" s="164">
        <f>M77/(K77*1000)</f>
        <v>1.0159569553805774</v>
      </c>
      <c r="O77" s="57">
        <f>4/4*336+153/153*1996+1066/1066*600+1074/1074*1935+1075/1075*3110.4+1379/1379*100421.2+2105/2105*-360+(6114/6114+6115/6115)*32000+21010/21010*546+143719/143719*50+1305/1305*211445+3*1000</f>
        <v>387079.6</v>
      </c>
      <c r="P77" s="80" t="s">
        <v>109</v>
      </c>
      <c r="Q77" s="17">
        <v>250</v>
      </c>
      <c r="R77" s="17">
        <v>250</v>
      </c>
      <c r="S77" s="22">
        <v>250</v>
      </c>
      <c r="T77" s="68">
        <v>250</v>
      </c>
      <c r="V77" s="17"/>
      <c r="W77" s="17"/>
      <c r="X77" s="106">
        <v>-90</v>
      </c>
      <c r="Y77" s="106"/>
      <c r="Z77" s="106">
        <f t="shared" si="35"/>
        <v>160</v>
      </c>
      <c r="AA77" s="12"/>
      <c r="AB77" s="247">
        <f>2/2*58182+4/4*10000+5/5*34266+6/6*29338+7/7*412+8/8*6900+10/10*20400</f>
        <v>159498</v>
      </c>
      <c r="AC77" s="164">
        <f>AB77/(Z77*1000)</f>
        <v>0.9968625</v>
      </c>
      <c r="AE77" s="48">
        <f>131786-AB77</f>
        <v>-27712</v>
      </c>
      <c r="AF77" s="33">
        <f>4/4*336+153/153*(1000*0+2/2*-1017*0+5/5*1436*0+8/8*1716*0+11/11*1996)+2105/2105*(2/2*-510*0+5/5*-460*0+8/8*-410*0+11/11*-360)+(1379/1379)*(3/3*22772.46*0*4/4+5/5*13336.23*0+6/6*(5152/5152*(2*11386.23*0*7/7+8/8*35783.23*0+9/9*47169.46*0+10/10*58555.69*0+11/11*84596.2)+5169/5169*1950+5154/5154*13875))+5/5*1075/1075*3110.4+(6/6*6114/6114+10/10*6115/6115)*64*500+1305/1305*(194793*0+7/7*211445)+410303/410303*(1000+10/10*1000+11/11*1000)+7/7*(1066/1066*600+1074/1074*1935)+9/9*143719/143719*50+10/10*(21010/21010*546+1463/1463*12000)</f>
        <v>399079.6</v>
      </c>
      <c r="AG77" s="53">
        <f t="shared" si="36"/>
        <v>-12000</v>
      </c>
      <c r="AH77" s="145" t="s">
        <v>250</v>
      </c>
      <c r="AI77" s="246">
        <f>AG77+12000</f>
        <v>0</v>
      </c>
      <c r="AJ77" s="288">
        <f>2/2*58182+4/4*10000+5/5*34266+6/6*29338+7/7*412+8/8*6900+10/10*20400</f>
        <v>159498</v>
      </c>
      <c r="AK77" s="240">
        <f t="shared" si="33"/>
        <v>0</v>
      </c>
    </row>
    <row r="78" spans="1:38" ht="12.75">
      <c r="A78" s="1" t="s">
        <v>86</v>
      </c>
      <c r="E78" s="27"/>
      <c r="I78" s="16"/>
      <c r="M78" s="53">
        <f>2/2*3456*0*12/12</f>
        <v>0</v>
      </c>
      <c r="P78" s="80" t="s">
        <v>110</v>
      </c>
      <c r="Q78" s="17"/>
      <c r="R78" s="17">
        <v>961</v>
      </c>
      <c r="S78" s="22">
        <v>961.5</v>
      </c>
      <c r="T78" s="68"/>
      <c r="W78" s="135">
        <f>1144*0*5/5+8/8*(35+928)</f>
        <v>963</v>
      </c>
      <c r="X78" s="194">
        <f>35+928-963+(1416-963)-453*9/9+12/12*470</f>
        <v>470</v>
      </c>
      <c r="Y78" s="106"/>
      <c r="Z78" s="106">
        <f t="shared" si="35"/>
        <v>1433</v>
      </c>
      <c r="AA78" s="12"/>
      <c r="AB78" s="247">
        <f>4000+2/2*52716.33+3/3*10455+4/4*1076623.22+5/5*54994.21+6/6*(213703.34+88/88*(1234/1234*4*300+99/99*2100)+7/7*200+8/8*200)+9/9*(26635-(4*300+2100)*0)+10/10*-10000+11/11*32440+(300*4+2100)+12/12*-9800</f>
        <v>1458767.1</v>
      </c>
      <c r="AC78" s="164">
        <f>AB78/(Z78*1000)</f>
        <v>1.017981228192603</v>
      </c>
      <c r="AE78" s="48">
        <f>1412492.1-AB78</f>
        <v>-46275</v>
      </c>
      <c r="AF78" s="33">
        <f>2/2*3456</f>
        <v>3456</v>
      </c>
      <c r="AG78" s="53">
        <f t="shared" si="36"/>
        <v>-3456</v>
      </c>
      <c r="AH78" s="145" t="s">
        <v>249</v>
      </c>
      <c r="AI78" s="55">
        <f>AG78+3456</f>
        <v>0</v>
      </c>
      <c r="AJ78" s="288">
        <f>4000+2/2*52716.33+3/3*10455+4/4*1076623.22+5/5*54994.21+6/6*(213703.34+88/88*(1234/1234*4*300+99/99*2100)+7/7*200+8/8*200)+9/9*(26635-(4*300+2100)*0)+10/10*-10000+11/11*32440+(300*4+2100)</f>
        <v>1468567.1</v>
      </c>
      <c r="AK78" s="240">
        <f t="shared" si="33"/>
        <v>-9800</v>
      </c>
      <c r="AL78" s="283" t="s">
        <v>120</v>
      </c>
    </row>
    <row r="79" spans="1:37" ht="12.75">
      <c r="A79" s="89" t="s">
        <v>135</v>
      </c>
      <c r="B79" s="3">
        <f aca="true" t="shared" si="37" ref="B79:I79">SUM(B59:B78)</f>
        <v>45000</v>
      </c>
      <c r="C79" s="3">
        <f t="shared" si="37"/>
        <v>47586.3</v>
      </c>
      <c r="D79" s="3">
        <f t="shared" si="37"/>
        <v>45708.100000000006</v>
      </c>
      <c r="E79" s="15">
        <f t="shared" si="37"/>
        <v>52161</v>
      </c>
      <c r="F79" s="15">
        <f t="shared" si="37"/>
        <v>0</v>
      </c>
      <c r="G79" s="15">
        <f t="shared" si="37"/>
        <v>30</v>
      </c>
      <c r="H79" s="66">
        <f t="shared" si="37"/>
        <v>424</v>
      </c>
      <c r="I79" s="84">
        <f t="shared" si="37"/>
        <v>-1236</v>
      </c>
      <c r="J79" s="15"/>
      <c r="K79" s="82">
        <f>SUM(K59:K78)</f>
        <v>51379</v>
      </c>
      <c r="M79" s="217">
        <f>SUM(M59:M78)</f>
        <v>44752097.14</v>
      </c>
      <c r="N79" s="165">
        <f>M79/(K79*1000)</f>
        <v>0.8710192323712023</v>
      </c>
      <c r="O79" s="62">
        <f>2/2*4840804.32-M79</f>
        <v>-39911292.82</v>
      </c>
      <c r="P79" s="238">
        <f>(K79*78/78+K99*98/98+K100*99/99+K102*101/101+K103*102/102+(K106*105/105-P106*105/105*0)+K110*109/109+K120*119/119-3/3*53096.1*0-4/4*53201.1*0-5/5*53803*0-6/6*54054*0-7/7*54968.8*0-9/9*54684.8*0-10/10*55376.8*0-12/12*54161.5)+(M79+M99+M100+M102+M103+(M106-P106)+M110+M120-3/3*(8786739.82*0+4/4*13133997.52*0+5/5*16492341.41*0+6/6*21056867.38*0+7/7*25813860.46*0+8/8*29095832.28*0+9/9*32807633.39*0+10/10*37483073.73*0+11/11*41104694.14*0+12/12*47740905.45+(10/10)*(159.5*0+6/6*319*0+9/9*478.5*0+12/12*638)))</f>
        <v>-7.457856554538012E-09</v>
      </c>
      <c r="Q79" s="3">
        <f aca="true" t="shared" si="38" ref="Q79:Y79">SUM(Q59:Q78)</f>
        <v>10931</v>
      </c>
      <c r="R79" s="3">
        <f t="shared" si="38"/>
        <v>11339</v>
      </c>
      <c r="S79" s="15">
        <f t="shared" si="38"/>
        <v>11501.4</v>
      </c>
      <c r="T79" s="15">
        <f t="shared" si="38"/>
        <v>18728.000004705133</v>
      </c>
      <c r="U79" s="15">
        <f t="shared" si="38"/>
        <v>0</v>
      </c>
      <c r="V79" s="15">
        <f t="shared" si="38"/>
        <v>261</v>
      </c>
      <c r="W79" s="15">
        <f t="shared" si="38"/>
        <v>963</v>
      </c>
      <c r="X79" s="82">
        <f t="shared" si="38"/>
        <v>949</v>
      </c>
      <c r="Y79" s="15">
        <f t="shared" si="38"/>
        <v>0</v>
      </c>
      <c r="Z79" s="82">
        <f>SUM(Z59:Z78)</f>
        <v>21041.000004705133</v>
      </c>
      <c r="AA79" s="87"/>
      <c r="AB79" s="248">
        <f>SUM(AB59:AB78)</f>
        <v>21554065.59470513</v>
      </c>
      <c r="AC79" s="165">
        <f>AB79/(Z79*1000)</f>
        <v>1.0243840877280201</v>
      </c>
      <c r="AD79" s="62">
        <f>2/2*278894.1+2*1540000-AB79</f>
        <v>-18195171.49470513</v>
      </c>
      <c r="AE79" s="228">
        <f>(((Z79-Z62)+Z99+Z100+Z102+Z103+Z106+Z110+Z120-3/3*(1185.1*0+4/4*1290.1*0+5/5*1892*0+6/6*2153*0+7/7*2580.8*0+9/9*3543.8*0+10/10*4235.8*0+12/12*5205.5+Z59))+(10/10)*18478*0)+((AB79-AB62)+AB99+AB100+AB102+AB106+AB110+AB120+AB103-3/3*1413368.26*0-4/4*(2668791.48*0+5/5*3519705.69*0+6/6*3897413.24*0+7/7*4400756.24*0+8/8*4480106.24*0+9/9*4735734.63*0+10/10*5531977.63*0+11/11*5677819.63*0+12/12*5858267.04+10/10*(52.06*0+104.59*0+9/9*157.59*0+12/12*198.55)))</f>
        <v>0</v>
      </c>
      <c r="AF79" s="217">
        <f>SUM(AF59:AF78)</f>
        <v>39109587.739999995</v>
      </c>
      <c r="AG79" s="115">
        <f>SUM(AG59:AG78)</f>
        <v>5642509.399999998</v>
      </c>
      <c r="AI79" s="78">
        <f>(AB21+AB24+AB62)/1000-3/3*4896*0-6/6*9792</f>
        <v>9786.000004705133</v>
      </c>
      <c r="AJ79" s="286">
        <f>SUM(AJ59:AJ78)</f>
        <v>19856290.220000308</v>
      </c>
      <c r="AK79" s="259">
        <f>SUM(AK59:AK78)</f>
        <v>1697775.3747048257</v>
      </c>
    </row>
    <row r="80" spans="1:38" ht="12.75">
      <c r="A80" s="267">
        <f>6112/6112*2633851+6114/6114*241455.26+6115/6115*264199.9+6171/6171*44601399.29+6310/6310*638</f>
        <v>47741543.449999996</v>
      </c>
      <c r="P80" s="80" t="s">
        <v>111</v>
      </c>
      <c r="Q80" s="2">
        <v>2368</v>
      </c>
      <c r="R80" s="2">
        <v>2418</v>
      </c>
      <c r="S80" s="21">
        <v>2215.6</v>
      </c>
      <c r="T80" s="69">
        <f>250+35+520+13+250+1300</f>
        <v>2368</v>
      </c>
      <c r="X80" s="81">
        <f>250+35+520+13+250+700+(600*0+62.5+1361/1361*537.5)-T80</f>
        <v>0</v>
      </c>
      <c r="Z80" s="14">
        <f aca="true" t="shared" si="39" ref="Z80:Z88">SUM(T80:Y80)</f>
        <v>2368</v>
      </c>
      <c r="AA80" s="25" t="s">
        <v>44</v>
      </c>
      <c r="AB80" s="55">
        <f>41/41*(9/9*271443*0+10/10*257690.5*0+11/11*267574.5*0+12/12*266596.25)+42/42*(9/9*17572.5*0+10/10*13327.5*0+11/11*15292.5*0+12/12*13635)+43/43*(9/9*406807*0+10/10*480549*0+11/11*610380*0+12/12*618265)+44/44*(3000*0+2/2*7305*0+5/5*12599.5*0+6/6*16303.5)+45/45*(9/9*162748*0+10/10*186012*0+11/11*216792*0+12/12*231044)+47/47*(0+10000*0+3/3*90000*0+4/4*140000*0+5/5*225000*0+6/6*320000*0+8/8*405000*0+9/9*425000*0+10/10*475000*0+11/11*565000*0+12/12*580000)+51/51*(42936*0+2/2*86881*0+3/3*277635*0+4/4*286107*0+7/7*619122)</f>
        <v>2344965.75</v>
      </c>
      <c r="AC80" s="164">
        <f aca="true" t="shared" si="40" ref="AC80:AC87">AB80/(Z80*1000)</f>
        <v>0.9902726984797298</v>
      </c>
      <c r="AJ80" s="287">
        <f>41/41*(9/9*271443*0+10/10*257690.5*0+11/11*267574.5)+42/42*(9/9*17572.5*0+10/10*13327.5*0+11/11*15292.5)+43/43*(9/9*406807*0+10/10*480549*0+11/11*610380)+44/44*(3000*0+2/2*7305*0+5/5*12599.5*0+6/6*16303.5)+45/45*(9/9*162748*0+10/10*186012*0+11/11*216792)+47/47*(0+10000*0+3/3*90000*0+4/4*140000*0+5/5*225000*0+6/6*320000*0+8/8*405000*0+9/9*425000*0+10/10*475000*0+11/11*565000)+51/51*(42936*0+2/2*86881*0+3/3*277635*0+4/4*286107*0+7/7*619122)</f>
        <v>2310464.5</v>
      </c>
      <c r="AK80" s="240">
        <f aca="true" t="shared" si="41" ref="AK80:AK88">AB80-AJ80</f>
        <v>34501.25</v>
      </c>
      <c r="AL80" s="283" t="s">
        <v>121</v>
      </c>
    </row>
    <row r="81" spans="1:38" ht="12.75">
      <c r="A81" s="268">
        <f>M79+M99+M100+M102+M103+(M106-P106)+M110+M120</f>
        <v>47741543.449999996</v>
      </c>
      <c r="P81" s="80" t="s">
        <v>112</v>
      </c>
      <c r="Q81" s="2">
        <v>3400</v>
      </c>
      <c r="R81" s="2">
        <v>2554</v>
      </c>
      <c r="S81" s="29">
        <f>3110/3110*2404+37*16-37*(16*2)*50%+150</f>
        <v>2554</v>
      </c>
      <c r="T81" s="70">
        <f>3400-500*0</f>
        <v>3400</v>
      </c>
      <c r="X81" s="81">
        <v>-700</v>
      </c>
      <c r="Z81" s="14">
        <f t="shared" si="39"/>
        <v>2700</v>
      </c>
      <c r="AA81" s="24" t="s">
        <v>48</v>
      </c>
      <c r="AB81" s="55">
        <f>94525*0+2/2*261816*0+3/3*486256*0+4/4*623971*0+5/5*813941*0+6/6*1624366*0+7/7*1758386+8/8*175615+9/9*251910+10/10*103890+11/11*120070+12/12*177985</f>
        <v>2587856</v>
      </c>
      <c r="AC81" s="164">
        <f t="shared" si="40"/>
        <v>0.9584651851851852</v>
      </c>
      <c r="AE81" s="55" t="s">
        <v>258</v>
      </c>
      <c r="AJ81" s="287">
        <f>94525*0+2/2*261816*0+3/3*486256*0+4/4*623971*0+5/5*813941*0+6/6*1624366*0+7/7*1758386+8/8*175615+9/9*251910+10/10*103890+11/11*120070</f>
        <v>2409871</v>
      </c>
      <c r="AK81" s="240">
        <f t="shared" si="41"/>
        <v>177985</v>
      </c>
      <c r="AL81" s="283" t="s">
        <v>122</v>
      </c>
    </row>
    <row r="82" spans="1:37" ht="12.75">
      <c r="A82" s="199">
        <f>A80-A81</f>
        <v>0</v>
      </c>
      <c r="P82" s="80" t="s">
        <v>113</v>
      </c>
      <c r="Q82" s="2">
        <v>5000</v>
      </c>
      <c r="R82" s="2">
        <v>5000</v>
      </c>
      <c r="S82" s="27">
        <v>5000</v>
      </c>
      <c r="T82" s="70">
        <v>5000</v>
      </c>
      <c r="V82" s="14">
        <f>3/3*4200</f>
        <v>4200</v>
      </c>
      <c r="Z82" s="14">
        <f t="shared" si="39"/>
        <v>9200</v>
      </c>
      <c r="AB82" s="55">
        <f>5/5*54775+6/6*5490135+8/8*88434+9/9*63567+10/10*12831+11/11*21770+12/12*2921137.53</f>
        <v>8652649.53</v>
      </c>
      <c r="AC82" s="164">
        <f t="shared" si="40"/>
        <v>0.9405053836956521</v>
      </c>
      <c r="AE82" s="55">
        <f>9200000-AB82</f>
        <v>547350.4700000007</v>
      </c>
      <c r="AJ82" s="287">
        <f>5/5*54775+6/6*5490135+8/8*88434+9/9*63567+10/10*12831+11/11*21770</f>
        <v>5731512</v>
      </c>
      <c r="AK82" s="240">
        <f t="shared" si="41"/>
        <v>2921137.5299999993</v>
      </c>
    </row>
    <row r="83" spans="16:37" ht="12.75">
      <c r="P83" s="80" t="s">
        <v>102</v>
      </c>
      <c r="S83" s="27"/>
      <c r="T83" s="70"/>
      <c r="Z83" s="14">
        <f t="shared" si="39"/>
        <v>0</v>
      </c>
      <c r="AB83" s="250">
        <f>1632000*12-6000-AB62-AB24-AB21</f>
        <v>-0.0047051310539245605</v>
      </c>
      <c r="AC83" s="164"/>
      <c r="AE83" s="63">
        <f>AB62+AB21+AB24</f>
        <v>19578000.00470513</v>
      </c>
      <c r="AJ83" s="291">
        <f>1632000*11-AJ62-AJ24-AJ21</f>
        <v>-3.018067218363285E-07</v>
      </c>
      <c r="AK83" s="240">
        <f t="shared" si="41"/>
        <v>-0.004704829247202724</v>
      </c>
    </row>
    <row r="84" spans="16:39" ht="12.75">
      <c r="P84" s="80" t="s">
        <v>114</v>
      </c>
      <c r="Q84" s="2">
        <v>33534</v>
      </c>
      <c r="R84" s="2">
        <v>33534</v>
      </c>
      <c r="S84" s="27">
        <v>33534</v>
      </c>
      <c r="T84" s="37">
        <f>8408*3.728472883</f>
        <v>31349.000000263997</v>
      </c>
      <c r="Z84" s="14">
        <f t="shared" si="39"/>
        <v>31349.000000263997</v>
      </c>
      <c r="AA84" s="19" t="s">
        <v>45</v>
      </c>
      <c r="AB84" s="55">
        <f>2612000*12+5000</f>
        <v>31349000</v>
      </c>
      <c r="AC84" s="164">
        <f t="shared" si="40"/>
        <v>0.9999999999915788</v>
      </c>
      <c r="AJ84" s="287">
        <f>2612000*11</f>
        <v>28732000</v>
      </c>
      <c r="AK84" s="240">
        <f t="shared" si="41"/>
        <v>2617000</v>
      </c>
      <c r="AL84" s="283" t="s">
        <v>90</v>
      </c>
      <c r="AM84" s="283">
        <f>AK84/(Z84*1000)*12</f>
        <v>1.0017544419195363</v>
      </c>
    </row>
    <row r="85" spans="16:37" ht="12.75">
      <c r="P85" s="80" t="s">
        <v>115</v>
      </c>
      <c r="R85" s="2">
        <v>2198.3</v>
      </c>
      <c r="S85" s="21">
        <v>2198.4</v>
      </c>
      <c r="T85" s="27"/>
      <c r="V85" s="129">
        <f>7/7*9835.9*0*9/9</f>
        <v>0</v>
      </c>
      <c r="W85" s="127">
        <f>7/7*9835.9</f>
        <v>9835.9</v>
      </c>
      <c r="Z85" s="14">
        <f t="shared" si="39"/>
        <v>9835.9</v>
      </c>
      <c r="AA85" s="24"/>
      <c r="AB85" s="55">
        <f>8/8*99/99*9835956.28</f>
        <v>9835956.28</v>
      </c>
      <c r="AC85" s="164">
        <f t="shared" si="40"/>
        <v>1.0000057218963185</v>
      </c>
      <c r="AJ85" s="287">
        <f>8/8*99/99*9835956.28</f>
        <v>9835956.28</v>
      </c>
      <c r="AK85" s="240">
        <f t="shared" si="41"/>
        <v>0</v>
      </c>
    </row>
    <row r="86" spans="16:37" ht="12.75">
      <c r="P86" s="80" t="s">
        <v>116</v>
      </c>
      <c r="Q86" s="2">
        <v>39526</v>
      </c>
      <c r="R86" s="2">
        <f>55150+2500</f>
        <v>57650</v>
      </c>
      <c r="S86" s="21">
        <f>55150+2500</f>
        <v>57650</v>
      </c>
      <c r="T86" s="37">
        <f>4662+2498+1000</f>
        <v>8160</v>
      </c>
      <c r="V86" s="14">
        <f>3/3*(-4200+2000+80)</f>
        <v>-2120</v>
      </c>
      <c r="W86" s="106">
        <f>-3000*0*5/5</f>
        <v>0</v>
      </c>
      <c r="Z86" s="14">
        <f t="shared" si="39"/>
        <v>6040</v>
      </c>
      <c r="AA86" s="19" t="s">
        <v>46</v>
      </c>
      <c r="AB86" s="55">
        <f>12/12*7000000</f>
        <v>7000000</v>
      </c>
      <c r="AC86" s="164">
        <f t="shared" si="40"/>
        <v>1.1589403973509933</v>
      </c>
      <c r="AE86" s="48" t="s">
        <v>175</v>
      </c>
      <c r="AK86" s="240">
        <f t="shared" si="41"/>
        <v>7000000</v>
      </c>
    </row>
    <row r="87" spans="16:38" ht="12.75">
      <c r="P87" s="80" t="s">
        <v>117</v>
      </c>
      <c r="T87" s="37"/>
      <c r="W87" s="106">
        <f>10000*0*5/5+9/9*-750</f>
        <v>-750</v>
      </c>
      <c r="Z87" s="14">
        <f t="shared" si="39"/>
        <v>-750</v>
      </c>
      <c r="AA87" s="19"/>
      <c r="AB87" s="55">
        <f>2/2*-1099279+7/7*-253598.75+9/9*602886.48</f>
        <v>-749991.27</v>
      </c>
      <c r="AC87" s="229">
        <f t="shared" si="40"/>
        <v>0.99998836</v>
      </c>
      <c r="AE87" s="48">
        <f>(2/2*-1099279+7/7*-253598.75)*0+9/9*602886.48</f>
        <v>602886.48</v>
      </c>
      <c r="AJ87" s="287">
        <f>2/2*-1099279+7/7*-253598.75+9/9*602886.48</f>
        <v>-749991.27</v>
      </c>
      <c r="AK87" s="240">
        <f>AB87-AJ87</f>
        <v>0</v>
      </c>
      <c r="AL87" s="283" t="s">
        <v>97</v>
      </c>
    </row>
    <row r="88" spans="16:38" ht="12.75">
      <c r="P88" s="80" t="s">
        <v>118</v>
      </c>
      <c r="T88" s="27"/>
      <c r="Z88" s="14">
        <f t="shared" si="39"/>
        <v>0</v>
      </c>
      <c r="AB88" s="47">
        <f>17000*0*2/2+3/3*1076823.22*0*4/4</f>
        <v>0</v>
      </c>
      <c r="AE88" s="197">
        <f>180683.9-99663-Z89-18478</f>
        <v>1799.9999997359919</v>
      </c>
      <c r="AJ88" s="287">
        <f>17000*0*2/2+3/3*1076823.22*0*4/4</f>
        <v>0</v>
      </c>
      <c r="AK88" s="240">
        <f t="shared" si="41"/>
        <v>0</v>
      </c>
      <c r="AL88" s="283" t="s">
        <v>97</v>
      </c>
    </row>
    <row r="89" spans="1:37" ht="12.75">
      <c r="A89" s="89" t="s">
        <v>136</v>
      </c>
      <c r="B89" s="3">
        <f aca="true" t="shared" si="42" ref="B89:I89">SUM(B80:B88)</f>
        <v>0</v>
      </c>
      <c r="C89" s="3">
        <f t="shared" si="42"/>
        <v>0</v>
      </c>
      <c r="D89" s="3">
        <f t="shared" si="42"/>
        <v>0</v>
      </c>
      <c r="E89" s="15">
        <f t="shared" si="42"/>
        <v>0</v>
      </c>
      <c r="F89" s="15">
        <f t="shared" si="42"/>
        <v>0</v>
      </c>
      <c r="G89" s="15">
        <f t="shared" si="42"/>
        <v>0</v>
      </c>
      <c r="H89" s="66">
        <f t="shared" si="42"/>
        <v>0</v>
      </c>
      <c r="I89" s="133">
        <f t="shared" si="42"/>
        <v>0</v>
      </c>
      <c r="J89" s="15"/>
      <c r="K89" s="15">
        <f>SUM(K80:K88)</f>
        <v>0</v>
      </c>
      <c r="M89" s="217">
        <f>SUM(M80:M88)</f>
        <v>0</v>
      </c>
      <c r="Q89" s="3">
        <f aca="true" t="shared" si="43" ref="Q89:Y89">SUM(Q80:Q88)</f>
        <v>83828</v>
      </c>
      <c r="R89" s="3">
        <f t="shared" si="43"/>
        <v>103354.3</v>
      </c>
      <c r="S89" s="15">
        <f t="shared" si="43"/>
        <v>103152</v>
      </c>
      <c r="T89" s="15">
        <f t="shared" si="43"/>
        <v>50277.000000264</v>
      </c>
      <c r="U89" s="15">
        <f t="shared" si="43"/>
        <v>0</v>
      </c>
      <c r="V89" s="15">
        <f t="shared" si="43"/>
        <v>2080</v>
      </c>
      <c r="W89" s="15">
        <f t="shared" si="43"/>
        <v>9085.9</v>
      </c>
      <c r="X89" s="82">
        <f t="shared" si="43"/>
        <v>-700</v>
      </c>
      <c r="Y89" s="15">
        <f t="shared" si="43"/>
        <v>0</v>
      </c>
      <c r="Z89" s="82">
        <f>SUM(Z80:Z88)</f>
        <v>60742.900000264</v>
      </c>
      <c r="AB89" s="248">
        <f>SUM(AB80:AB88)</f>
        <v>61020436.28529487</v>
      </c>
      <c r="AC89" s="165">
        <f>AB89/(Z89*1000)</f>
        <v>1.00456903251293</v>
      </c>
      <c r="AD89" s="62">
        <f>2/2*(19276000.1-11383701.1-2*1540000-(AB21+AB24))-AB89</f>
        <v>-57308137.28529487</v>
      </c>
      <c r="AE89" s="228">
        <f>((9/9)*12/12*Z59+(Z89+(4/4*(350+750)+9/9*18478)+10/10*52.06*0+(7/7)*-9835.9*0)-3/3*(171598-99663)*0-8/8*(180081-99663)*0-9/9*(180683.9-99663)*10/10*0-12/12*(180123.9-99663))+(AB89+(4/4*(87000+189000)+9/9*4620000+10/10*11424157.59)-3/3*(36060356.38-22142988.1)*0-6/6*(80172213.62-47425152.03)*0-7/7*(98536647.08-61263699.24)*0-8/8*(122954400.36-71212559.24)*0-9/9*(143479259.84-85895319.24)*0-10/10*(159161297.23-97587627.13)*0-11/11*(174817588.23-108595618.13)*0-12/12*(201843241.12-121244606.28))</f>
        <v>-3258040.9647048754</v>
      </c>
      <c r="AF89" s="217">
        <f>SUM(AF80:AF88)</f>
        <v>0</v>
      </c>
      <c r="AG89" s="115">
        <f>SUM(AG80:AG88)</f>
        <v>0</v>
      </c>
      <c r="AJ89" s="286">
        <f>SUM(AJ80:AJ88)</f>
        <v>48269812.5099997</v>
      </c>
      <c r="AK89" s="259">
        <f>SUM(AK80:AK88)</f>
        <v>12750623.77529517</v>
      </c>
    </row>
    <row r="90" spans="13:37" ht="12.75">
      <c r="M90" s="225"/>
      <c r="N90" s="166"/>
      <c r="O90" s="59"/>
      <c r="AB90" s="170"/>
      <c r="AC90" s="166"/>
      <c r="AF90" s="225"/>
      <c r="AG90" s="116"/>
      <c r="AJ90" s="292"/>
      <c r="AK90" s="302"/>
    </row>
    <row r="91" spans="1:37" ht="12.75">
      <c r="A91" s="92" t="s">
        <v>57</v>
      </c>
      <c r="B91" s="6">
        <f aca="true" t="shared" si="44" ref="B91:I91">SUM(B7:B90)/2</f>
        <v>98377</v>
      </c>
      <c r="C91" s="6">
        <f t="shared" si="44"/>
        <v>119994.29999999999</v>
      </c>
      <c r="D91" s="6">
        <f t="shared" si="44"/>
        <v>114917.5</v>
      </c>
      <c r="E91" s="7">
        <f t="shared" si="44"/>
        <v>81875</v>
      </c>
      <c r="F91" s="7">
        <f t="shared" si="44"/>
        <v>0</v>
      </c>
      <c r="G91" s="7">
        <f t="shared" si="44"/>
        <v>2341</v>
      </c>
      <c r="H91" s="7">
        <f t="shared" si="44"/>
        <v>10798.9</v>
      </c>
      <c r="I91" s="134">
        <f t="shared" si="44"/>
        <v>-787.9000000000001</v>
      </c>
      <c r="J91" s="7"/>
      <c r="K91" s="7">
        <f>SUM(K7:K90)/2</f>
        <v>94227</v>
      </c>
      <c r="M91" s="217">
        <f>SUM(M4:M90)/2</f>
        <v>84419382.78</v>
      </c>
      <c r="N91" s="167">
        <f>M91/(K91*1000)</f>
        <v>0.8959150007959502</v>
      </c>
      <c r="O91" s="60"/>
      <c r="P91" s="52"/>
      <c r="Q91" s="6">
        <f aca="true" t="shared" si="45" ref="Q91:Y91">SUM(Q7:Q90)/2</f>
        <v>97585</v>
      </c>
      <c r="R91" s="6">
        <f t="shared" si="45"/>
        <v>117535.29999999999</v>
      </c>
      <c r="S91" s="7">
        <f t="shared" si="45"/>
        <v>117495.4</v>
      </c>
      <c r="T91" s="7">
        <f t="shared" si="45"/>
        <v>81875.00000496913</v>
      </c>
      <c r="U91" s="7">
        <f t="shared" si="45"/>
        <v>0</v>
      </c>
      <c r="V91" s="7">
        <f t="shared" si="45"/>
        <v>2341</v>
      </c>
      <c r="W91" s="7">
        <f t="shared" si="45"/>
        <v>10048.9</v>
      </c>
      <c r="X91" s="134">
        <f t="shared" si="45"/>
        <v>-897.9000000000001</v>
      </c>
      <c r="Y91" s="7">
        <f t="shared" si="45"/>
        <v>0</v>
      </c>
      <c r="Z91" s="7">
        <f>SUM(Z7:Z90)/2</f>
        <v>93507.00000496913</v>
      </c>
      <c r="AB91" s="142">
        <f>SUM(AB7:AB90)/2</f>
        <v>85146816.09</v>
      </c>
      <c r="AC91" s="167">
        <f>AB91/(Z91*1000)</f>
        <v>0.910592961868899</v>
      </c>
      <c r="AF91" s="217">
        <f>SUM(AF4:AF90)/2</f>
        <v>72455397.05000001</v>
      </c>
      <c r="AG91" s="117">
        <f>SUM(AG7:AG90)/2</f>
        <v>11963985.729999997</v>
      </c>
      <c r="AJ91" s="34">
        <f>SUM(AJ7:AJ90)/2</f>
        <v>70564426.94000001</v>
      </c>
      <c r="AK91" s="303">
        <f>SUM(AK7:AK90)/2</f>
        <v>14582389.149999999</v>
      </c>
    </row>
    <row r="92" spans="17:37" ht="12.75">
      <c r="Q92" s="4">
        <f>Q91-B91</f>
        <v>-792</v>
      </c>
      <c r="R92" s="4">
        <f>R91-C91</f>
        <v>-2459</v>
      </c>
      <c r="S92" s="26">
        <f>S91-D91</f>
        <v>2577.899999999994</v>
      </c>
      <c r="T92" s="137">
        <f>T91-E91</f>
        <v>4.969129804521799E-06</v>
      </c>
      <c r="U92" s="137">
        <f aca="true" t="shared" si="46" ref="U92:Z92">U91-F91</f>
        <v>0</v>
      </c>
      <c r="V92" s="137">
        <f t="shared" si="46"/>
        <v>0</v>
      </c>
      <c r="W92" s="137">
        <f t="shared" si="46"/>
        <v>-750</v>
      </c>
      <c r="X92" s="137">
        <f t="shared" si="46"/>
        <v>-110</v>
      </c>
      <c r="Y92" s="137">
        <f t="shared" si="46"/>
        <v>0</v>
      </c>
      <c r="Z92" s="137">
        <f t="shared" si="46"/>
        <v>-719.9999950308702</v>
      </c>
      <c r="AB92" s="143">
        <f>AB91-M91</f>
        <v>727433.3100000024</v>
      </c>
      <c r="AC92" s="164"/>
      <c r="AJ92" s="293">
        <f>AJ91-U91</f>
        <v>70564426.94000001</v>
      </c>
      <c r="AK92" s="240"/>
    </row>
    <row r="93" spans="1:37" ht="12.75">
      <c r="A93" s="93" t="s">
        <v>55</v>
      </c>
      <c r="AB93" s="33"/>
      <c r="AC93" s="164"/>
      <c r="AJ93" s="57"/>
      <c r="AK93" s="240"/>
    </row>
    <row r="94" spans="1:37" ht="12.75">
      <c r="A94" s="89" t="s">
        <v>74</v>
      </c>
      <c r="S94" s="28"/>
      <c r="AB94" s="143">
        <f>SUM(AB95:AB103)-SUM(M95:M103)</f>
        <v>145587.69000000134</v>
      </c>
      <c r="AC94" s="164"/>
      <c r="AE94" s="104">
        <f>(52357+(4/4*(350+750)+9/9*18478)+10/10*52.06)-3/3*(171598-99663)+(9021316.22+(4/4*(87000+189000)+9/9*4620000)-3/3*(36060356.38-22142988.1))</f>
        <v>-5.238689482212067E-10</v>
      </c>
      <c r="AJ94" s="293">
        <f>SUM(AJ95:AJ103)-SUM(U95:U103)</f>
        <v>25054739.7</v>
      </c>
      <c r="AK94" s="240"/>
    </row>
    <row r="95" spans="1:37" ht="24">
      <c r="A95" s="1" t="s">
        <v>142</v>
      </c>
      <c r="F95" s="127">
        <f>1/1*6000+9/9*-500+11/11*-200</f>
        <v>5300</v>
      </c>
      <c r="K95" s="14">
        <f aca="true" t="shared" si="47" ref="K95:K101">SUM(E95:J95)</f>
        <v>5300</v>
      </c>
      <c r="M95" s="53">
        <f>1610453*0+2/2*(3515568-M96)*0+3/3*1203444*0+4/4*7533298*0+5/5*9398395*0+6/6*11070385*0+7/7*13430222*0+8/8*15108588*0+9/9*17027876*0+10/10*18941145*0+11/11*20659462*0+12/12*22475152-M96</f>
        <v>4321152</v>
      </c>
      <c r="N95" s="164">
        <f aca="true" t="shared" si="48" ref="N95:N115">M95/(K95*1000)</f>
        <v>0.8153116981132076</v>
      </c>
      <c r="O95" s="242" t="s">
        <v>205</v>
      </c>
      <c r="P95" s="193">
        <f>23679-K95-K96</f>
        <v>0</v>
      </c>
      <c r="S95" s="28"/>
      <c r="U95" s="127">
        <f>1/1*6000+9/9*-500+11/11*-200</f>
        <v>5300</v>
      </c>
      <c r="V95" s="17"/>
      <c r="W95" s="17"/>
      <c r="Z95" s="14">
        <f aca="true" t="shared" si="49" ref="Z95:Z101">SUM(T95:Y95)</f>
        <v>5300</v>
      </c>
      <c r="AB95" s="53">
        <f>1000000+2/2*500000+4/4*200000+5/5*800000+6/6*500000+7/7*500000+8/8*500000+9/9*(10/10)*500000+12/12*200000</f>
        <v>4700000</v>
      </c>
      <c r="AC95" s="164">
        <f aca="true" t="shared" si="50" ref="AC95:AC117">AB95/(Z95*1000)</f>
        <v>0.8867924528301887</v>
      </c>
      <c r="AE95" s="55">
        <f>4700000-AB95</f>
        <v>0</v>
      </c>
      <c r="AF95" s="33">
        <f>1610453*0+2/2*(3515568-AF96)*0+3/3*1203444*0+4/4*7533298*0+5/5*9398395*0+6/6*11070385*0+7/7*13430222*0+8/8*15108588*0+9/9*17027876*0+10/10*18941145*0+11/11*20659462-AF96</f>
        <v>3955462</v>
      </c>
      <c r="AG95" s="53">
        <f aca="true" t="shared" si="51" ref="AG95:AG103">M95-AF95</f>
        <v>365690</v>
      </c>
      <c r="AH95" s="145" t="s">
        <v>242</v>
      </c>
      <c r="AJ95" s="57">
        <f>1000000+2/2*500000+4/4*200000+5/5*800000+6/6*500000+7/7*500000+8/8*500000+9/9*(10/10)*500000</f>
        <v>4500000</v>
      </c>
      <c r="AK95" s="240">
        <f aca="true" t="shared" si="52" ref="AK95:AK103">AB95-AJ95</f>
        <v>200000</v>
      </c>
    </row>
    <row r="96" spans="1:37" ht="24">
      <c r="A96" s="1" t="s">
        <v>143</v>
      </c>
      <c r="F96" s="106">
        <f>1/1*16730+11/11*500+12/12*1149</f>
        <v>18379</v>
      </c>
      <c r="K96" s="81">
        <f t="shared" si="47"/>
        <v>18379</v>
      </c>
      <c r="M96" s="53">
        <f>1482000*0+2/2*2912000+3/3*1483000+4/4*1523000+5/5*1565000+6/6*1486000+7/7*1493000+8/8*1563000+9/9*1589000+10/10*1572000+11/11*1518000+12/12*1450000</f>
        <v>18154000</v>
      </c>
      <c r="N96" s="164">
        <f t="shared" si="48"/>
        <v>0.9877577670167038</v>
      </c>
      <c r="O96" s="242" t="s">
        <v>206</v>
      </c>
      <c r="P96" s="193">
        <f>(22475152*0+18154000+4321152)-M95-M96</f>
        <v>0</v>
      </c>
      <c r="S96" s="28"/>
      <c r="U96" s="106">
        <f>1/1*16730+11/11*500+12/12*1149</f>
        <v>18379</v>
      </c>
      <c r="V96" s="17"/>
      <c r="W96" s="17"/>
      <c r="Z96" s="81">
        <f t="shared" si="49"/>
        <v>18379</v>
      </c>
      <c r="AB96" s="53">
        <f>1800000+2/2*1600000+3/3*1486000+4/4*1534000+5/5*1375000+6/6*1523000+7/7*1565000+8/8*1386000+9/9*1393000+10/10*1563000+11/11*1589000+12/12*1565000</f>
        <v>18379000</v>
      </c>
      <c r="AC96" s="164">
        <f t="shared" si="50"/>
        <v>1</v>
      </c>
      <c r="AE96" s="55">
        <f>18379000-AB96</f>
        <v>0</v>
      </c>
      <c r="AF96" s="33">
        <f>1482000*0+2/2*2912000+3/3*1483000+4/4*1523000+5/5*1565000+6/6*1486000+7/7*1493000+8/8*1563000+9/9*1589000+10/10*1572000+11/11*1518000</f>
        <v>16704000</v>
      </c>
      <c r="AG96" s="53">
        <f t="shared" si="51"/>
        <v>1450000</v>
      </c>
      <c r="AH96" s="145" t="s">
        <v>168</v>
      </c>
      <c r="AJ96" s="57">
        <f>1800000+2/2*1600000+3/3*1486000+4/4*1534000+5/5*1375000+6/6*1523000+7/7*1565000+8/8*1386000+9/9*1393000+10/10*1563000+11/11*1589000</f>
        <v>16814000</v>
      </c>
      <c r="AK96" s="240">
        <f t="shared" si="52"/>
        <v>1565000</v>
      </c>
    </row>
    <row r="97" spans="1:37" ht="12.75">
      <c r="A97" s="1" t="s">
        <v>144</v>
      </c>
      <c r="F97" s="135">
        <f>3/3*30</f>
        <v>30</v>
      </c>
      <c r="K97" s="76">
        <f t="shared" si="47"/>
        <v>30</v>
      </c>
      <c r="M97" s="227">
        <f>6/6*(21000*0+3000*3*1/1*5/5*6/6+6000*2*2/2*4/4+10/10*3000)</f>
        <v>24000</v>
      </c>
      <c r="N97" s="164">
        <f t="shared" si="48"/>
        <v>0.8</v>
      </c>
      <c r="O97" s="57" t="s">
        <v>198</v>
      </c>
      <c r="P97" s="244">
        <f>732/732*(129+1271+17779+4955+61252+5417+9175)</f>
        <v>99978</v>
      </c>
      <c r="S97" s="28"/>
      <c r="U97" s="205">
        <f>3/3*30</f>
        <v>30</v>
      </c>
      <c r="V97" s="17"/>
      <c r="W97" s="17"/>
      <c r="Z97" s="76">
        <f t="shared" si="49"/>
        <v>30</v>
      </c>
      <c r="AB97" s="53">
        <f>3/3*30000</f>
        <v>30000</v>
      </c>
      <c r="AC97" s="164">
        <f t="shared" si="50"/>
        <v>1</v>
      </c>
      <c r="AE97" s="54" t="s">
        <v>179</v>
      </c>
      <c r="AF97" s="308">
        <f>6/6*(21000*0+3000*3*1/1*5/5*6/6+6000*2*2/2*4/4+10/10*3000)</f>
        <v>24000</v>
      </c>
      <c r="AG97" s="53">
        <f t="shared" si="51"/>
        <v>0</v>
      </c>
      <c r="AH97" s="145"/>
      <c r="AJ97" s="57">
        <f>3/3*30000</f>
        <v>30000</v>
      </c>
      <c r="AK97" s="240">
        <f t="shared" si="52"/>
        <v>0</v>
      </c>
    </row>
    <row r="98" spans="1:37" ht="12.75">
      <c r="A98" s="1" t="s">
        <v>101</v>
      </c>
      <c r="F98" s="106">
        <f>892+223+80+16+34+15</f>
        <v>1260</v>
      </c>
      <c r="H98" s="106">
        <f>1260*0*5/5</f>
        <v>0</v>
      </c>
      <c r="K98" s="76">
        <f t="shared" si="47"/>
        <v>1260</v>
      </c>
      <c r="M98" s="53">
        <f>(669000+167250+60000+12000+25500+11250)*0+12/12*(892000+223000+80000+16000+34000+15000)</f>
        <v>1260000</v>
      </c>
      <c r="N98" s="164">
        <f t="shared" si="48"/>
        <v>1</v>
      </c>
      <c r="O98" s="57" t="s">
        <v>199</v>
      </c>
      <c r="P98" s="206">
        <f>(3/3*920+4/4*920+5/5*920)*0+6/6*(495978+126640+45661)*0+9/9*(825326+209082+75302)*0+11/11*2640*0+12/12*(((1243131+314930+113488)+(9630-2760-2640))*0+(4973+1500+42719+4960.2+2500+27279+600+17915+100560+5500+18540+14746+284+36314.21))+9630</f>
        <v>288020.41000000003</v>
      </c>
      <c r="S98" s="28"/>
      <c r="U98" s="205">
        <f>892+223+80+16+34+15</f>
        <v>1260</v>
      </c>
      <c r="V98" s="17"/>
      <c r="W98" s="106">
        <f>1260*0*5/5</f>
        <v>0</v>
      </c>
      <c r="Z98" s="14">
        <f t="shared" si="49"/>
        <v>1260</v>
      </c>
      <c r="AB98" s="53">
        <f>3/3*1260000*(40%+5/5*30%+10/10*30%)</f>
        <v>1260000</v>
      </c>
      <c r="AC98" s="164">
        <f>AB98/((Z98+1260)*1000)</f>
        <v>0.5</v>
      </c>
      <c r="AF98" s="33">
        <f>669000+167250+60000+12000+25500+11250</f>
        <v>945000</v>
      </c>
      <c r="AG98" s="53">
        <f t="shared" si="51"/>
        <v>315000</v>
      </c>
      <c r="AH98" s="145" t="s">
        <v>240</v>
      </c>
      <c r="AI98" s="55">
        <f>AG98-1260000/4</f>
        <v>0</v>
      </c>
      <c r="AJ98" s="57">
        <f>3/3*1260000*(40%+5/5*30%+10/10*30%)</f>
        <v>1260000</v>
      </c>
      <c r="AK98" s="240">
        <f t="shared" si="52"/>
        <v>0</v>
      </c>
    </row>
    <row r="99" spans="1:37" ht="22.5">
      <c r="A99" s="1" t="s">
        <v>145</v>
      </c>
      <c r="F99" s="106">
        <f>2/2*369.9+5/5*369.9+7/7*427.8+10/10*427.8</f>
        <v>1595.3999999999999</v>
      </c>
      <c r="K99" s="14">
        <f t="shared" si="47"/>
        <v>1595.3999999999999</v>
      </c>
      <c r="M99" s="53">
        <f>(3/3*920+4/4*920+5/5*920)+6/6*(495978+126640+45661)*0+9/9*(825326+209082+75302)*0+11/11*2640+12/12*((1243131+314930+113488)+(9630-2760-2640)+(4973+1500+42719+4960.2+2500+27279+600+17915+100560+5500+18540+14746+284+36314.21)+732/732*(129+1271+17779+4955+61252+5417+9175))</f>
        <v>2059547.4100000001</v>
      </c>
      <c r="N99" s="164">
        <f t="shared" si="48"/>
        <v>1.290928550833647</v>
      </c>
      <c r="O99" s="57" t="s">
        <v>201</v>
      </c>
      <c r="P99" s="235">
        <f>(3/3*920+4/4*920+5/5*920)*0+6/6*(495978+126640+45661)*0+9/9*(825326+209082+75302)*0+11/11*2640*0+12/12*((1243131+314930+113488)+(9630-2760-2640)*0)</f>
        <v>1671549</v>
      </c>
      <c r="S99" s="28"/>
      <c r="U99" s="205">
        <f>2/2*369.9+5/5*369.9+7/7*427.8+10/10*427.8</f>
        <v>1595.3999999999999</v>
      </c>
      <c r="V99" s="17"/>
      <c r="W99" s="17"/>
      <c r="Z99" s="14">
        <f t="shared" si="49"/>
        <v>1595.3999999999999</v>
      </c>
      <c r="AB99" s="53">
        <f>3/3*369854+5/5*369854+7/7*427790+10/10*427789</f>
        <v>1595287</v>
      </c>
      <c r="AC99" s="164">
        <f t="shared" si="50"/>
        <v>0.9999291713676822</v>
      </c>
      <c r="AF99" s="33">
        <f>(3/3*920+4/4*920+5/5*920)+6/6*(495978+126640+45661)*0+9/9*(825326+209082+75302)+11/11*2640</f>
        <v>1115110</v>
      </c>
      <c r="AG99" s="53">
        <f t="shared" si="51"/>
        <v>944437.4100000001</v>
      </c>
      <c r="AH99" s="145" t="s">
        <v>241</v>
      </c>
      <c r="AI99" s="55">
        <f>(AG99-732/732*99978-6171/6171*288020.41-501/501*(152565+123342+(128291-107/107*5800)+157641))+(1671549-(1109710+107/107*5800))*0-400</f>
        <v>2.3283064365386963E-10</v>
      </c>
      <c r="AJ99" s="57">
        <f>3/3*369854+5/5*369854+7/7*427790+10/10*427789</f>
        <v>1595287</v>
      </c>
      <c r="AK99" s="240">
        <f t="shared" si="52"/>
        <v>0</v>
      </c>
    </row>
    <row r="100" spans="1:37" ht="12.75">
      <c r="A100" s="1" t="s">
        <v>146</v>
      </c>
      <c r="F100" s="17">
        <f>2/2*226.1</f>
        <v>226.1</v>
      </c>
      <c r="K100" s="14">
        <f t="shared" si="47"/>
        <v>226.1</v>
      </c>
      <c r="M100" s="235">
        <f>6/6*226100</f>
        <v>226100</v>
      </c>
      <c r="N100" s="164">
        <f t="shared" si="48"/>
        <v>1</v>
      </c>
      <c r="O100" s="240" t="s">
        <v>202</v>
      </c>
      <c r="P100" s="235">
        <f>P97+P98+P99</f>
        <v>2059547.4100000001</v>
      </c>
      <c r="S100" s="28"/>
      <c r="U100" s="205">
        <f>2/2*226.1</f>
        <v>226.1</v>
      </c>
      <c r="V100" s="17"/>
      <c r="W100" s="17"/>
      <c r="Z100" s="14">
        <f t="shared" si="49"/>
        <v>226.1</v>
      </c>
      <c r="AB100" s="53">
        <f>3/3*226100</f>
        <v>226100</v>
      </c>
      <c r="AC100" s="164">
        <f t="shared" si="50"/>
        <v>1</v>
      </c>
      <c r="AF100" s="33">
        <f>6/6*226100</f>
        <v>226100</v>
      </c>
      <c r="AG100" s="53">
        <f t="shared" si="51"/>
        <v>0</v>
      </c>
      <c r="AJ100" s="57">
        <f>3/3*226100</f>
        <v>226100</v>
      </c>
      <c r="AK100" s="240">
        <f t="shared" si="52"/>
        <v>0</v>
      </c>
    </row>
    <row r="101" spans="1:37" ht="12.75">
      <c r="A101" s="1" t="s">
        <v>126</v>
      </c>
      <c r="F101" s="106">
        <f>4/4*160.6+9/9*(115.1+47)*0</f>
        <v>160.6</v>
      </c>
      <c r="G101" s="81"/>
      <c r="H101" s="106"/>
      <c r="J101" s="81"/>
      <c r="K101" s="81">
        <f t="shared" si="47"/>
        <v>160.6</v>
      </c>
      <c r="M101" s="235">
        <f>5/5*160600</f>
        <v>160600</v>
      </c>
      <c r="N101" s="164">
        <f t="shared" si="48"/>
        <v>1</v>
      </c>
      <c r="O101" s="240" t="s">
        <v>200</v>
      </c>
      <c r="P101" s="53">
        <f>M99+M63</f>
        <v>2059547.4100000001</v>
      </c>
      <c r="S101" s="28"/>
      <c r="U101" s="205">
        <f>4/4*160.6+9/9*(115.1+47)*0</f>
        <v>160.6</v>
      </c>
      <c r="V101" s="106"/>
      <c r="W101" s="106"/>
      <c r="Z101" s="81">
        <f t="shared" si="49"/>
        <v>160.6</v>
      </c>
      <c r="AB101" s="53">
        <f>4/4*160600</f>
        <v>160600</v>
      </c>
      <c r="AC101" s="164">
        <f t="shared" si="50"/>
        <v>1</v>
      </c>
      <c r="AE101" s="263" t="s">
        <v>185</v>
      </c>
      <c r="AF101" s="33">
        <f>5/5*160600</f>
        <v>160600</v>
      </c>
      <c r="AG101" s="53">
        <f t="shared" si="51"/>
        <v>0</v>
      </c>
      <c r="AJ101" s="57">
        <f>4/4*160600</f>
        <v>160600</v>
      </c>
      <c r="AK101" s="240">
        <f t="shared" si="52"/>
        <v>0</v>
      </c>
    </row>
    <row r="102" spans="1:39" s="100" customFormat="1" ht="22.5">
      <c r="A102" s="97" t="s">
        <v>178</v>
      </c>
      <c r="B102" s="98"/>
      <c r="C102" s="98"/>
      <c r="D102" s="98"/>
      <c r="E102" s="81"/>
      <c r="F102" s="106">
        <f>5/5*232</f>
        <v>232</v>
      </c>
      <c r="G102" s="81"/>
      <c r="H102" s="106"/>
      <c r="I102" s="135"/>
      <c r="J102" s="81"/>
      <c r="K102" s="81">
        <f>SUM(E102:J102)</f>
        <v>232</v>
      </c>
      <c r="L102" s="83"/>
      <c r="M102" s="53">
        <f>5/5*27526.26*0+6/6*238055.26*0+12/12*241455.26-16/16*(6055.26*0+9455.26)</f>
        <v>232000</v>
      </c>
      <c r="N102" s="164">
        <f>M102/(K102*1000)</f>
        <v>1</v>
      </c>
      <c r="O102" s="241" t="s">
        <v>203</v>
      </c>
      <c r="P102" s="53">
        <f>M100+M64</f>
        <v>804612</v>
      </c>
      <c r="Q102" s="98"/>
      <c r="R102" s="98"/>
      <c r="S102" s="81"/>
      <c r="T102" s="81"/>
      <c r="U102" s="28">
        <f>5/5*232</f>
        <v>232</v>
      </c>
      <c r="V102" s="81"/>
      <c r="W102" s="81"/>
      <c r="X102" s="76"/>
      <c r="Y102" s="21"/>
      <c r="Z102" s="81">
        <f>SUM(T102:Y102)</f>
        <v>232</v>
      </c>
      <c r="AA102" s="99"/>
      <c r="AB102" s="53">
        <f>5/5*232000</f>
        <v>232000</v>
      </c>
      <c r="AC102" s="164">
        <f>AB102/(Z102*1000)</f>
        <v>1</v>
      </c>
      <c r="AE102" s="143">
        <f>SUM(AB95:AB103)-SUM(M95:M103)</f>
        <v>145587.69000000134</v>
      </c>
      <c r="AF102" s="33">
        <f>5/5*27526.26*0+6/6*238055.26-6055.26*16/16</f>
        <v>232000</v>
      </c>
      <c r="AG102" s="53">
        <f>M102-AF102</f>
        <v>0</v>
      </c>
      <c r="AH102" s="5"/>
      <c r="AI102" s="54"/>
      <c r="AJ102" s="57">
        <f>5/5*232000</f>
        <v>232000</v>
      </c>
      <c r="AK102" s="240">
        <f>AB102-AJ102</f>
        <v>0</v>
      </c>
      <c r="AL102" s="283"/>
      <c r="AM102" s="283"/>
    </row>
    <row r="103" spans="1:39" s="100" customFormat="1" ht="22.5">
      <c r="A103" s="97" t="s">
        <v>177</v>
      </c>
      <c r="B103" s="98"/>
      <c r="C103" s="98"/>
      <c r="D103" s="98"/>
      <c r="E103" s="81"/>
      <c r="F103" s="106">
        <f>10/10*264.2</f>
        <v>264.2</v>
      </c>
      <c r="G103" s="81"/>
      <c r="H103" s="106"/>
      <c r="I103" s="135"/>
      <c r="J103" s="81"/>
      <c r="K103" s="81">
        <f>SUM(E103:J103)</f>
        <v>264.2</v>
      </c>
      <c r="L103" s="83"/>
      <c r="M103" s="53">
        <f>10/10*20802.9*0+11/11*254178.9-16/16*(117+448)*0+12/12*10021</f>
        <v>264199.9</v>
      </c>
      <c r="N103" s="164">
        <f t="shared" si="48"/>
        <v>0.9999996214988646</v>
      </c>
      <c r="O103" s="53"/>
      <c r="Q103" s="98"/>
      <c r="R103" s="98"/>
      <c r="S103" s="81"/>
      <c r="T103" s="81"/>
      <c r="U103" s="28">
        <f>10/10*264.2</f>
        <v>264.2</v>
      </c>
      <c r="V103" s="81"/>
      <c r="W103" s="81"/>
      <c r="X103" s="76"/>
      <c r="Y103" s="21"/>
      <c r="Z103" s="81">
        <f>SUM(T103:Y103)</f>
        <v>264.2</v>
      </c>
      <c r="AA103" s="99"/>
      <c r="AB103" s="53">
        <f>10/10*264200</f>
        <v>264200</v>
      </c>
      <c r="AC103" s="164">
        <f>AB103/(Z103*1000)</f>
        <v>1</v>
      </c>
      <c r="AE103" s="263" t="s">
        <v>183</v>
      </c>
      <c r="AF103" s="33">
        <f>10/10*20802.9*0+11/11*254178.9-16/16*(117+448)*0</f>
        <v>254178.9</v>
      </c>
      <c r="AG103" s="53">
        <f t="shared" si="51"/>
        <v>10021.00000000003</v>
      </c>
      <c r="AH103" s="145" t="s">
        <v>268</v>
      </c>
      <c r="AI103" s="55">
        <f>AG103-(116206-108460-(117+448))-(16339.9-13499.9)</f>
        <v>2.9103830456733704E-11</v>
      </c>
      <c r="AJ103" s="57">
        <f>10/10*264200</f>
        <v>264200</v>
      </c>
      <c r="AK103" s="240">
        <f t="shared" si="52"/>
        <v>0</v>
      </c>
      <c r="AL103" s="283"/>
      <c r="AM103" s="283"/>
    </row>
    <row r="104" spans="1:37" ht="12.75">
      <c r="A104" s="89" t="s">
        <v>75</v>
      </c>
      <c r="F104" s="17"/>
      <c r="P104" s="201"/>
      <c r="S104" s="28"/>
      <c r="AB104" s="143">
        <f>SUM(AB105:AB119)-SUM(M105:M119)</f>
        <v>33214</v>
      </c>
      <c r="AC104" s="164"/>
      <c r="AE104" s="143">
        <f>SUM(AB105:AB110,AB116:AB119)-SUM(M105:M110,M116:M119)</f>
        <v>33214</v>
      </c>
      <c r="AG104" s="53"/>
      <c r="AH104" s="111">
        <f>3000/4000*12</f>
        <v>9</v>
      </c>
      <c r="AJ104" s="293">
        <f>SUM(AJ105:AJ119)-SUM(U105:U119)</f>
        <v>20270509.2</v>
      </c>
      <c r="AK104" s="240"/>
    </row>
    <row r="105" spans="1:37" ht="12.75">
      <c r="A105" s="91" t="s">
        <v>98</v>
      </c>
      <c r="F105" s="17">
        <f>2/2*4000</f>
        <v>4000</v>
      </c>
      <c r="K105" s="14">
        <f aca="true" t="shared" si="53" ref="K105:K110">SUM(E105:J105)</f>
        <v>4000</v>
      </c>
      <c r="M105" s="227">
        <f>3/3*800000+6/6*800000+8/8*800000+9/9*600000+11/11*600000+12/12*400000</f>
        <v>4000000</v>
      </c>
      <c r="N105" s="164">
        <f t="shared" si="48"/>
        <v>1</v>
      </c>
      <c r="S105" s="28"/>
      <c r="U105" s="14">
        <f>2/2*4000</f>
        <v>4000</v>
      </c>
      <c r="Z105" s="14">
        <f aca="true" t="shared" si="54" ref="Z105:Z114">SUM(T105:Y105)</f>
        <v>4000</v>
      </c>
      <c r="AB105" s="53">
        <f>3/3*4000000</f>
        <v>4000000</v>
      </c>
      <c r="AC105" s="164">
        <f t="shared" si="50"/>
        <v>1</v>
      </c>
      <c r="AE105" s="143">
        <f>SUM(AB111:AB115)-SUM(M111:M115)</f>
        <v>0</v>
      </c>
      <c r="AF105" s="308">
        <f>3/3*800000+6/6*800000+8/8*800000+9/9*600000+11/11*600000</f>
        <v>3600000</v>
      </c>
      <c r="AG105" s="53">
        <f aca="true" t="shared" si="55" ref="AG105:AG115">M105-AF105</f>
        <v>400000</v>
      </c>
      <c r="AH105" s="145" t="s">
        <v>239</v>
      </c>
      <c r="AI105" s="55">
        <f>AG105-400000</f>
        <v>0</v>
      </c>
      <c r="AJ105" s="57">
        <f>3/3*4000000</f>
        <v>4000000</v>
      </c>
      <c r="AK105" s="240">
        <f aca="true" t="shared" si="56" ref="AK105:AK119">AB105-AJ105</f>
        <v>0</v>
      </c>
    </row>
    <row r="106" spans="1:37" ht="23.25">
      <c r="A106" s="1" t="s">
        <v>167</v>
      </c>
      <c r="F106" s="17">
        <f>2/2*339.1</f>
        <v>339.1</v>
      </c>
      <c r="K106" s="14">
        <f t="shared" si="53"/>
        <v>339.1</v>
      </c>
      <c r="M106" s="227">
        <f>(7/7*(47500)+8/8*67600)+10/10*4351/4351*((65250+15000+5250+14250+4200+12000)*0+12/12*(141000+35000+13000+14000+21000))</f>
        <v>339100</v>
      </c>
      <c r="N106" s="164">
        <f t="shared" si="48"/>
        <v>1</v>
      </c>
      <c r="O106" s="241" t="s">
        <v>204</v>
      </c>
      <c r="P106" s="227">
        <f>(7/7*(47500)+8/8*67600)*0+10/10*4351/4351*((65250+15000+5250+14250+4200+12000)*0+12/12*(141000+35000+13000+14000+21000))</f>
        <v>224000</v>
      </c>
      <c r="S106" s="28"/>
      <c r="U106" s="14">
        <f>2/2*339.1</f>
        <v>339.1</v>
      </c>
      <c r="Z106" s="14">
        <f t="shared" si="54"/>
        <v>339.1</v>
      </c>
      <c r="AB106" s="53">
        <f>3/3*339100</f>
        <v>339100</v>
      </c>
      <c r="AC106" s="164">
        <f t="shared" si="50"/>
        <v>1</v>
      </c>
      <c r="AE106" s="105"/>
      <c r="AF106" s="308">
        <f>(7/7*(47500)+8/8*67600)+10/10*4351/4351*(65250+15000+5250+14250+4200+12000)</f>
        <v>231050</v>
      </c>
      <c r="AG106" s="53">
        <f t="shared" si="55"/>
        <v>108050</v>
      </c>
      <c r="AH106" s="145" t="s">
        <v>238</v>
      </c>
      <c r="AI106" s="55">
        <f>AG106-108050</f>
        <v>0</v>
      </c>
      <c r="AJ106" s="57">
        <f>3/3*339100</f>
        <v>339100</v>
      </c>
      <c r="AK106" s="240">
        <f t="shared" si="56"/>
        <v>0</v>
      </c>
    </row>
    <row r="107" spans="1:37" ht="12.75">
      <c r="A107" s="1" t="s">
        <v>147</v>
      </c>
      <c r="F107" s="106">
        <f>(2/2*0+4/4)*51.7*(0+4/4)</f>
        <v>51.7</v>
      </c>
      <c r="K107" s="81">
        <f t="shared" si="53"/>
        <v>51.7</v>
      </c>
      <c r="M107" s="236">
        <f>4/4*51700</f>
        <v>51700</v>
      </c>
      <c r="N107" s="164">
        <f t="shared" si="48"/>
        <v>1</v>
      </c>
      <c r="S107" s="28"/>
      <c r="U107" s="81">
        <f>(2/2*0+4/4)*51.7*(0+4/4)</f>
        <v>51.7</v>
      </c>
      <c r="V107" s="81"/>
      <c r="W107" s="81"/>
      <c r="Z107" s="81">
        <f t="shared" si="54"/>
        <v>51.7</v>
      </c>
      <c r="AB107" s="53">
        <f>(3/3*0+4/4)*51700*(0+4/4)</f>
        <v>51700</v>
      </c>
      <c r="AC107" s="164">
        <f t="shared" si="50"/>
        <v>1</v>
      </c>
      <c r="AF107" s="308">
        <f>4/4*51700</f>
        <v>51700</v>
      </c>
      <c r="AG107" s="75">
        <f t="shared" si="55"/>
        <v>0</v>
      </c>
      <c r="AJ107" s="57">
        <f>(3/3*0+4/4)*51700*(0+4/4)</f>
        <v>51700</v>
      </c>
      <c r="AK107" s="240">
        <f t="shared" si="56"/>
        <v>0</v>
      </c>
    </row>
    <row r="108" spans="1:37" ht="24">
      <c r="A108" s="1" t="s">
        <v>148</v>
      </c>
      <c r="F108" s="17">
        <f>2/2*50</f>
        <v>50</v>
      </c>
      <c r="K108" s="14">
        <f t="shared" si="53"/>
        <v>50</v>
      </c>
      <c r="M108" s="227">
        <f>3/3*24000*0+4/4*36200*0+5/5*37600+6/6*700+10/10*3000+12/12*8700</f>
        <v>50000</v>
      </c>
      <c r="N108" s="164">
        <f t="shared" si="48"/>
        <v>1</v>
      </c>
      <c r="S108" s="28"/>
      <c r="U108" s="14">
        <f>2/2*50</f>
        <v>50</v>
      </c>
      <c r="Z108" s="14">
        <f t="shared" si="54"/>
        <v>50</v>
      </c>
      <c r="AB108" s="53">
        <f>3/3*50000</f>
        <v>50000</v>
      </c>
      <c r="AC108" s="164">
        <f t="shared" si="50"/>
        <v>1</v>
      </c>
      <c r="AF108" s="308">
        <f>3/3*24000*0+4/4*36200*0+5/5*37600+6/6*700+10/10*3000</f>
        <v>41300</v>
      </c>
      <c r="AG108" s="53">
        <f t="shared" si="55"/>
        <v>8700</v>
      </c>
      <c r="AH108" s="145" t="s">
        <v>234</v>
      </c>
      <c r="AI108" s="55">
        <f>AG108-1650-7050</f>
        <v>0</v>
      </c>
      <c r="AJ108" s="57">
        <f>3/3*50000</f>
        <v>50000</v>
      </c>
      <c r="AK108" s="240">
        <f t="shared" si="56"/>
        <v>0</v>
      </c>
    </row>
    <row r="109" spans="1:37" ht="12.75">
      <c r="A109" s="1" t="s">
        <v>149</v>
      </c>
      <c r="F109" s="17">
        <f>2/2*99</f>
        <v>99</v>
      </c>
      <c r="K109" s="14">
        <f t="shared" si="53"/>
        <v>99</v>
      </c>
      <c r="M109" s="236">
        <f>5/5*99000</f>
        <v>99000</v>
      </c>
      <c r="N109" s="164">
        <f t="shared" si="48"/>
        <v>1</v>
      </c>
      <c r="S109" s="28"/>
      <c r="U109" s="14">
        <f>2/2*99</f>
        <v>99</v>
      </c>
      <c r="Z109" s="14">
        <f t="shared" si="54"/>
        <v>99</v>
      </c>
      <c r="AB109" s="53">
        <f>3/3*99000</f>
        <v>99000</v>
      </c>
      <c r="AC109" s="164">
        <f t="shared" si="50"/>
        <v>1</v>
      </c>
      <c r="AF109" s="308">
        <f>5/5*99000</f>
        <v>99000</v>
      </c>
      <c r="AG109" s="53">
        <f t="shared" si="55"/>
        <v>0</v>
      </c>
      <c r="AJ109" s="57">
        <f>3/3*99000</f>
        <v>99000</v>
      </c>
      <c r="AK109" s="240">
        <f t="shared" si="56"/>
        <v>0</v>
      </c>
    </row>
    <row r="110" spans="1:37" ht="12.75">
      <c r="A110" s="1" t="s">
        <v>150</v>
      </c>
      <c r="F110" s="81">
        <f>4/4*105</f>
        <v>105</v>
      </c>
      <c r="K110" s="81">
        <f t="shared" si="53"/>
        <v>105</v>
      </c>
      <c r="M110" s="227">
        <f>3/3*32646*0+9/9*47926*0+11/11*53096*0+12/12*71786</f>
        <v>71786</v>
      </c>
      <c r="N110" s="164">
        <f t="shared" si="48"/>
        <v>0.6836761904761904</v>
      </c>
      <c r="S110" s="28"/>
      <c r="U110" s="81">
        <f>4/4*105</f>
        <v>105</v>
      </c>
      <c r="Z110" s="81">
        <f t="shared" si="54"/>
        <v>105</v>
      </c>
      <c r="AA110" s="12"/>
      <c r="AB110" s="53">
        <f>4/4*105000</f>
        <v>105000</v>
      </c>
      <c r="AC110" s="164">
        <f t="shared" si="50"/>
        <v>1</v>
      </c>
      <c r="AE110" s="47">
        <f>AB106+AB110-444100</f>
        <v>0</v>
      </c>
      <c r="AF110" s="308">
        <f>3/3*32646*0+9/9*47926*0+11/11*53096</f>
        <v>53096</v>
      </c>
      <c r="AG110" s="53">
        <f t="shared" si="55"/>
        <v>18690</v>
      </c>
      <c r="AH110" s="145" t="s">
        <v>237</v>
      </c>
      <c r="AI110" s="55">
        <f>AG110-18690</f>
        <v>0</v>
      </c>
      <c r="AJ110" s="57">
        <f>4/4*105000</f>
        <v>105000</v>
      </c>
      <c r="AK110" s="240">
        <f t="shared" si="56"/>
        <v>0</v>
      </c>
    </row>
    <row r="111" spans="1:37" ht="12.75">
      <c r="A111" s="1" t="s">
        <v>123</v>
      </c>
      <c r="F111" s="81">
        <f>4/4*3000</f>
        <v>3000</v>
      </c>
      <c r="G111" s="81"/>
      <c r="H111" s="106"/>
      <c r="J111" s="81"/>
      <c r="K111" s="81">
        <f aca="true" t="shared" si="57" ref="K111:K119">SUM(E111:J111)</f>
        <v>3000</v>
      </c>
      <c r="M111" s="53">
        <f>351983.6*0+7/7*1809015.6*0+8/8*1982572.4*0+9/9*2356269.4*0+10/10*(3098291.8*0+3000000)</f>
        <v>3000000</v>
      </c>
      <c r="N111" s="164">
        <f t="shared" si="48"/>
        <v>1</v>
      </c>
      <c r="P111" s="159"/>
      <c r="S111" s="28"/>
      <c r="U111" s="81">
        <f>4/4*3000</f>
        <v>3000</v>
      </c>
      <c r="V111" s="81"/>
      <c r="W111" s="81"/>
      <c r="Z111" s="81">
        <f t="shared" si="54"/>
        <v>3000</v>
      </c>
      <c r="AB111" s="53">
        <f>5/5*3000000</f>
        <v>3000000</v>
      </c>
      <c r="AC111" s="164">
        <f t="shared" si="50"/>
        <v>1</v>
      </c>
      <c r="AF111" s="33">
        <f>351983.6*0+7/7*1809015.6*0+8/8*1982572.4*0+9/9*2356269.4*0+10/10*(3098291.8*0+3000000)</f>
        <v>3000000</v>
      </c>
      <c r="AG111" s="53">
        <f t="shared" si="55"/>
        <v>0</v>
      </c>
      <c r="AJ111" s="57">
        <f>5/5*3000000</f>
        <v>3000000</v>
      </c>
      <c r="AK111" s="240">
        <f t="shared" si="56"/>
        <v>0</v>
      </c>
    </row>
    <row r="112" spans="1:37" ht="22.5">
      <c r="A112" s="1" t="s">
        <v>124</v>
      </c>
      <c r="F112" s="81">
        <f>4/4*6000</f>
        <v>6000</v>
      </c>
      <c r="G112" s="81"/>
      <c r="H112" s="106"/>
      <c r="I112" s="135">
        <f>(6157.0178*1.2+82360/1000)+0.0186-6000-1470.8*9/9</f>
        <v>-4.0000000581130735E-05</v>
      </c>
      <c r="J112" s="81"/>
      <c r="K112" s="81">
        <f t="shared" si="57"/>
        <v>5999.999959999999</v>
      </c>
      <c r="M112" s="237">
        <f>6/6*49000*(0+6/6)*0+7/7*82360*0+8/8*126030*0+9/9*137430*0+10/10*139238*0+11/11*2651730*0+12/12*(7247089-16/16*(256079.56+99/99*991009.44))</f>
        <v>6000000</v>
      </c>
      <c r="N112" s="164">
        <f t="shared" si="48"/>
        <v>1.0000000066666668</v>
      </c>
      <c r="P112" s="181"/>
      <c r="S112" s="28"/>
      <c r="U112" s="81">
        <f>4/4*6000</f>
        <v>6000</v>
      </c>
      <c r="V112" s="81"/>
      <c r="W112" s="81"/>
      <c r="Z112" s="81">
        <f t="shared" si="54"/>
        <v>6000</v>
      </c>
      <c r="AB112" s="53">
        <f>5/5*6000000</f>
        <v>6000000</v>
      </c>
      <c r="AC112" s="164">
        <f t="shared" si="50"/>
        <v>1</v>
      </c>
      <c r="AF112" s="113">
        <f>6/6*49000*(0+6/6)*0+7/7*82360*0+8/8*126030*0+9/9*137430*0+10/10*139238*0+11/11*2651730</f>
        <v>2651730</v>
      </c>
      <c r="AG112" s="53">
        <f t="shared" si="55"/>
        <v>3348270</v>
      </c>
      <c r="AH112" s="145" t="s">
        <v>235</v>
      </c>
      <c r="AI112" s="55">
        <f>AG112-1195392-2237216-(1951910*0+1162751)</f>
        <v>-1247089</v>
      </c>
      <c r="AJ112" s="57">
        <f>5/5*6000000</f>
        <v>6000000</v>
      </c>
      <c r="AK112" s="240">
        <f t="shared" si="56"/>
        <v>0</v>
      </c>
    </row>
    <row r="113" spans="1:37" ht="12.75">
      <c r="A113" s="1" t="s">
        <v>125</v>
      </c>
      <c r="F113" s="81">
        <f>4/4*200</f>
        <v>200</v>
      </c>
      <c r="G113" s="81"/>
      <c r="H113" s="106">
        <f>(694.335+0.665)-200-495*5/5</f>
        <v>0</v>
      </c>
      <c r="I113" s="135">
        <f>(694.335+0.665)-200-495*5/5*9/9</f>
        <v>0</v>
      </c>
      <c r="J113" s="81"/>
      <c r="K113" s="81">
        <f t="shared" si="57"/>
        <v>200</v>
      </c>
      <c r="M113" s="235">
        <f>6/6*4800*0+9/9*607921-407921</f>
        <v>200000</v>
      </c>
      <c r="N113" s="164">
        <f t="shared" si="48"/>
        <v>1</v>
      </c>
      <c r="P113" s="181"/>
      <c r="S113" s="28"/>
      <c r="U113" s="81">
        <f>4/4*200</f>
        <v>200</v>
      </c>
      <c r="V113" s="81"/>
      <c r="W113" s="81"/>
      <c r="Z113" s="81">
        <f t="shared" si="54"/>
        <v>200</v>
      </c>
      <c r="AB113" s="53">
        <f>5/5*200000</f>
        <v>200000</v>
      </c>
      <c r="AC113" s="164">
        <f t="shared" si="50"/>
        <v>1</v>
      </c>
      <c r="AF113" s="33">
        <f>6/6*4800*0+9/9*607921-407921</f>
        <v>200000</v>
      </c>
      <c r="AG113" s="53">
        <f t="shared" si="55"/>
        <v>0</v>
      </c>
      <c r="AJ113" s="57">
        <f>5/5*200000</f>
        <v>200000</v>
      </c>
      <c r="AK113" s="240">
        <f t="shared" si="56"/>
        <v>0</v>
      </c>
    </row>
    <row r="114" spans="1:37" ht="24">
      <c r="A114" s="1" t="s">
        <v>138</v>
      </c>
      <c r="F114" s="81">
        <f>4/4*800</f>
        <v>800</v>
      </c>
      <c r="G114" s="81"/>
      <c r="H114" s="106">
        <f>(1268.837+1.163)-800-470*5/5</f>
        <v>0</v>
      </c>
      <c r="I114" s="135">
        <f>(1268.837+1.163)-800-470*5/5*9/9</f>
        <v>0</v>
      </c>
      <c r="J114" s="81"/>
      <c r="K114" s="81">
        <f t="shared" si="57"/>
        <v>800</v>
      </c>
      <c r="M114" s="235">
        <f>6/6*23669.6*0+7/7*33029.6*0+9/9*1205448.6-405448.6</f>
        <v>800000.0000000001</v>
      </c>
      <c r="N114" s="164">
        <f t="shared" si="48"/>
        <v>1.0000000000000002</v>
      </c>
      <c r="P114" s="12" t="s">
        <v>209</v>
      </c>
      <c r="S114" s="28"/>
      <c r="U114" s="81">
        <f>4/4*800</f>
        <v>800</v>
      </c>
      <c r="V114" s="81"/>
      <c r="W114" s="81"/>
      <c r="Z114" s="81">
        <f t="shared" si="54"/>
        <v>800</v>
      </c>
      <c r="AB114" s="53">
        <f>5/5*800000</f>
        <v>800000</v>
      </c>
      <c r="AC114" s="164">
        <f t="shared" si="50"/>
        <v>1</v>
      </c>
      <c r="AF114" s="33">
        <f>6/6*23669.6*0+7/7*33029.6*0+9/9*1205448.6-405448.6</f>
        <v>800000.0000000001</v>
      </c>
      <c r="AG114" s="53">
        <f t="shared" si="55"/>
        <v>0</v>
      </c>
      <c r="AJ114" s="57">
        <f>5/5*800000</f>
        <v>800000</v>
      </c>
      <c r="AK114" s="240">
        <f t="shared" si="56"/>
        <v>0</v>
      </c>
    </row>
    <row r="115" spans="1:37" ht="12.75">
      <c r="A115" s="107" t="s">
        <v>151</v>
      </c>
      <c r="F115" s="76">
        <f>6/6*5000</f>
        <v>5000</v>
      </c>
      <c r="G115" s="81"/>
      <c r="H115" s="106"/>
      <c r="J115" s="81"/>
      <c r="K115" s="76">
        <f t="shared" si="57"/>
        <v>5000</v>
      </c>
      <c r="M115" s="53">
        <f>7/7*9600*0+9/9*1028818.45*0+10/10*3166125.78*0+12/12*(5128370.95-16/16*128370.95)</f>
        <v>5000000</v>
      </c>
      <c r="N115" s="164">
        <f t="shared" si="48"/>
        <v>1</v>
      </c>
      <c r="P115" s="33">
        <f>M97+M105+M106+M107+M108+M109+M110+M116+M117</f>
        <v>5047586</v>
      </c>
      <c r="S115" s="28"/>
      <c r="U115" s="76">
        <f>6/6*5000</f>
        <v>5000</v>
      </c>
      <c r="V115" s="81"/>
      <c r="W115" s="81"/>
      <c r="Z115" s="76">
        <f aca="true" t="shared" si="58" ref="Z115:Z120">SUM(T115:Y115)</f>
        <v>5000</v>
      </c>
      <c r="AB115" s="53">
        <f>7/7*5000000</f>
        <v>5000000</v>
      </c>
      <c r="AC115" s="164">
        <f t="shared" si="50"/>
        <v>1</v>
      </c>
      <c r="AF115" s="33">
        <f>7/7*9600*0+9/9*1028818.45*0+10/10*3166125.78</f>
        <v>3166125.78</v>
      </c>
      <c r="AG115" s="53">
        <f t="shared" si="55"/>
        <v>1833874.2200000002</v>
      </c>
      <c r="AH115" s="145" t="s">
        <v>236</v>
      </c>
      <c r="AI115" s="55">
        <f>AG115-1158969.84-803275.33</f>
        <v>-128370.94999999984</v>
      </c>
      <c r="AJ115" s="57">
        <f>7/7*5000000</f>
        <v>5000000</v>
      </c>
      <c r="AK115" s="240">
        <f t="shared" si="56"/>
        <v>0</v>
      </c>
    </row>
    <row r="116" spans="1:37" ht="12.75">
      <c r="A116" s="218" t="s">
        <v>160</v>
      </c>
      <c r="F116" s="138">
        <f>9/9*350</f>
        <v>350</v>
      </c>
      <c r="G116" s="81"/>
      <c r="H116" s="106"/>
      <c r="J116" s="81"/>
      <c r="K116" s="76">
        <f t="shared" si="57"/>
        <v>350</v>
      </c>
      <c r="M116" s="236">
        <f>8/8*240000*0+9/9*350000</f>
        <v>350000</v>
      </c>
      <c r="N116" s="164">
        <f>M116/(K116*1000)</f>
        <v>1</v>
      </c>
      <c r="P116" s="12" t="s">
        <v>208</v>
      </c>
      <c r="S116" s="28"/>
      <c r="U116" s="138">
        <f>9/9*350</f>
        <v>350</v>
      </c>
      <c r="V116" s="81"/>
      <c r="W116" s="81"/>
      <c r="Z116" s="76">
        <f t="shared" si="58"/>
        <v>350</v>
      </c>
      <c r="AB116" s="53">
        <f>9/9*350000</f>
        <v>350000</v>
      </c>
      <c r="AC116" s="164">
        <f t="shared" si="50"/>
        <v>1</v>
      </c>
      <c r="AE116" s="55">
        <f>4/4*(AB109+AB116-449000)</f>
        <v>0</v>
      </c>
      <c r="AF116" s="308">
        <f>8/8*240000*0+9/9*350000</f>
        <v>350000</v>
      </c>
      <c r="AG116" s="53">
        <f>M116-AF116</f>
        <v>0</v>
      </c>
      <c r="AJ116" s="57">
        <f>9/9*350000</f>
        <v>350000</v>
      </c>
      <c r="AK116" s="240">
        <f t="shared" si="56"/>
        <v>0</v>
      </c>
    </row>
    <row r="117" spans="1:37" ht="12.75">
      <c r="A117" s="218" t="s">
        <v>161</v>
      </c>
      <c r="F117" s="138">
        <f>9/9*62</f>
        <v>62</v>
      </c>
      <c r="G117" s="81"/>
      <c r="H117" s="106"/>
      <c r="J117" s="81"/>
      <c r="K117" s="76">
        <f t="shared" si="57"/>
        <v>62</v>
      </c>
      <c r="M117" s="227">
        <f>9/9*(39000+(10000*0+12/12*16895)+3000*0*12/12)+11/11*4277*0*12/12+12/12*6105</f>
        <v>62000</v>
      </c>
      <c r="N117" s="164">
        <f>M117/(K117*1000)</f>
        <v>1</v>
      </c>
      <c r="P117" s="33">
        <f>M111+M112+M113+M114+M115</f>
        <v>15000000</v>
      </c>
      <c r="S117" s="28"/>
      <c r="U117" s="138">
        <f>9/9*62</f>
        <v>62</v>
      </c>
      <c r="V117" s="81"/>
      <c r="W117" s="81"/>
      <c r="Z117" s="76">
        <f t="shared" si="58"/>
        <v>62</v>
      </c>
      <c r="AB117" s="53">
        <f>9/9*62000</f>
        <v>62000</v>
      </c>
      <c r="AC117" s="164">
        <f t="shared" si="50"/>
        <v>1</v>
      </c>
      <c r="AE117" s="47">
        <f>AB97+AB105+AB106+AB107+AB108+AB109+AB110+AB116+AB117-5086800</f>
        <v>0</v>
      </c>
      <c r="AF117" s="308">
        <f>9/9*(39000+10000+3000)+11/11*4277</f>
        <v>56277</v>
      </c>
      <c r="AG117" s="53">
        <f>M117-AF117</f>
        <v>5723</v>
      </c>
      <c r="AH117" s="145" t="s">
        <v>227</v>
      </c>
      <c r="AI117" s="55">
        <f>AG117-5723</f>
        <v>0</v>
      </c>
      <c r="AJ117" s="57">
        <f>9/9*62000</f>
        <v>62000</v>
      </c>
      <c r="AK117" s="240">
        <f t="shared" si="56"/>
        <v>0</v>
      </c>
    </row>
    <row r="118" spans="1:37" ht="12.75">
      <c r="A118" s="219" t="s">
        <v>181</v>
      </c>
      <c r="F118" s="139">
        <f>4/4*160.6*0+9/9*(115.1+47)</f>
        <v>162.1</v>
      </c>
      <c r="G118" s="81"/>
      <c r="H118" s="106"/>
      <c r="J118" s="81"/>
      <c r="K118" s="81">
        <f t="shared" si="57"/>
        <v>162.1</v>
      </c>
      <c r="M118" s="235">
        <f>5/5*160600*0+12/12*(162100*0+(322700-160600))</f>
        <v>162100</v>
      </c>
      <c r="N118" s="164">
        <f>M118/(K118*1000)</f>
        <v>1</v>
      </c>
      <c r="P118" s="12" t="s">
        <v>207</v>
      </c>
      <c r="S118" s="28"/>
      <c r="U118" s="139">
        <f>4/4*160.6*0+9/9*(115.1+47)</f>
        <v>162.1</v>
      </c>
      <c r="V118" s="81"/>
      <c r="W118" s="81"/>
      <c r="Z118" s="81">
        <f t="shared" si="58"/>
        <v>162.1</v>
      </c>
      <c r="AB118" s="53">
        <f>4/4*160600*0+9/9*162100</f>
        <v>162100</v>
      </c>
      <c r="AC118" s="164">
        <f>AB118/(Z118*1000)</f>
        <v>1</v>
      </c>
      <c r="AF118" s="33">
        <f>5/5*160600*0</f>
        <v>0</v>
      </c>
      <c r="AG118" s="53">
        <f>M118-AF118</f>
        <v>162100</v>
      </c>
      <c r="AH118" s="145" t="s">
        <v>221</v>
      </c>
      <c r="AI118" s="55">
        <f>AG118-162100</f>
        <v>0</v>
      </c>
      <c r="AJ118" s="57">
        <f>4/4*160600*0+9/9*162100</f>
        <v>162100</v>
      </c>
      <c r="AK118" s="240">
        <f t="shared" si="56"/>
        <v>0</v>
      </c>
    </row>
    <row r="119" spans="1:37" ht="12.75">
      <c r="A119" s="219" t="s">
        <v>182</v>
      </c>
      <c r="F119" s="139">
        <f>9/9*71.9</f>
        <v>71.9</v>
      </c>
      <c r="G119" s="81"/>
      <c r="H119" s="106"/>
      <c r="J119" s="81"/>
      <c r="K119" s="81">
        <f t="shared" si="57"/>
        <v>71.9</v>
      </c>
      <c r="M119" s="235">
        <f>12/12*71900</f>
        <v>71900</v>
      </c>
      <c r="N119" s="164">
        <f>M119/(K119*1000)</f>
        <v>1</v>
      </c>
      <c r="P119" s="33">
        <f>M119+M118+M101</f>
        <v>394600</v>
      </c>
      <c r="S119" s="28"/>
      <c r="U119" s="139">
        <f>9/9*71.9</f>
        <v>71.9</v>
      </c>
      <c r="V119" s="81"/>
      <c r="W119" s="81"/>
      <c r="Z119" s="81">
        <f t="shared" si="58"/>
        <v>71.9</v>
      </c>
      <c r="AB119" s="53">
        <f>9/9*71900</f>
        <v>71900</v>
      </c>
      <c r="AC119" s="164">
        <f>AB119/(Z119*1000)</f>
        <v>1</v>
      </c>
      <c r="AE119" s="55">
        <f>AB119+AB118+AB101-394600</f>
        <v>0</v>
      </c>
      <c r="AF119" s="33">
        <v>0</v>
      </c>
      <c r="AG119" s="53">
        <f>M119-AF119</f>
        <v>71900</v>
      </c>
      <c r="AH119" s="145" t="s">
        <v>217</v>
      </c>
      <c r="AI119" s="55">
        <f>AG119-71900</f>
        <v>0</v>
      </c>
      <c r="AJ119" s="57">
        <f>9/9*71900</f>
        <v>71900</v>
      </c>
      <c r="AK119" s="240">
        <f t="shared" si="56"/>
        <v>0</v>
      </c>
    </row>
    <row r="120" spans="1:37" ht="12.75">
      <c r="A120" s="97" t="s">
        <v>195</v>
      </c>
      <c r="F120" s="81">
        <f>12/12*20.7</f>
        <v>20.7</v>
      </c>
      <c r="K120" s="81">
        <f>SUM(E120:J120)</f>
        <v>20.7</v>
      </c>
      <c r="M120" s="235">
        <f>12/12*20713</f>
        <v>20713</v>
      </c>
      <c r="P120" s="33">
        <f>56815854.59-9835956.28-M121</f>
        <v>0</v>
      </c>
      <c r="S120" s="28"/>
      <c r="U120" s="106">
        <f>12/12*20.7</f>
        <v>20.7</v>
      </c>
      <c r="V120" s="17"/>
      <c r="W120" s="17"/>
      <c r="X120" s="135"/>
      <c r="Y120" s="17"/>
      <c r="Z120" s="106">
        <f t="shared" si="58"/>
        <v>20.7</v>
      </c>
      <c r="AA120" s="12"/>
      <c r="AB120" s="53">
        <f>12/12*20713</f>
        <v>20713</v>
      </c>
      <c r="AC120" s="229">
        <f>AB120/(Z120*1000)</f>
        <v>1.0006280193236714</v>
      </c>
      <c r="AJ120" s="57"/>
      <c r="AK120" s="240"/>
    </row>
    <row r="121" spans="1:37" ht="12.75">
      <c r="A121" s="94" t="s">
        <v>56</v>
      </c>
      <c r="B121" s="6">
        <f>SUM(B27:B120)/2</f>
        <v>144773</v>
      </c>
      <c r="C121" s="6">
        <f>SUM(C27:C120)/2</f>
        <v>176729.94999999998</v>
      </c>
      <c r="D121" s="6">
        <f>SUM(D27:D120)/2</f>
        <v>169115.34999999998</v>
      </c>
      <c r="E121" s="7">
        <f>SUM(E95:E120)</f>
        <v>0</v>
      </c>
      <c r="F121" s="7">
        <f>SUM(F95:F120)</f>
        <v>47758.799999999996</v>
      </c>
      <c r="G121" s="7">
        <f>SUM(G95:G120)</f>
        <v>0</v>
      </c>
      <c r="H121" s="7">
        <f>SUM(H95:H120)</f>
        <v>0</v>
      </c>
      <c r="I121" s="134">
        <f>SUM(I95:I120)</f>
        <v>-4.0000000581130735E-05</v>
      </c>
      <c r="J121" s="7"/>
      <c r="K121" s="86">
        <f>SUM(K95:K120)</f>
        <v>47758.79996</v>
      </c>
      <c r="L121" s="85"/>
      <c r="M121" s="34">
        <f>SUM(M95:M120)</f>
        <v>46979898.31</v>
      </c>
      <c r="N121" s="167">
        <f>M121/(K121*1000)</f>
        <v>0.9836909291972924</v>
      </c>
      <c r="O121" s="60"/>
      <c r="P121" s="52"/>
      <c r="T121" s="7">
        <f aca="true" t="shared" si="59" ref="T121:Z121">SUM(T95:T120)</f>
        <v>0</v>
      </c>
      <c r="U121" s="7">
        <f t="shared" si="59"/>
        <v>47758.799999999996</v>
      </c>
      <c r="V121" s="7">
        <f t="shared" si="59"/>
        <v>0</v>
      </c>
      <c r="W121" s="7">
        <f t="shared" si="59"/>
        <v>0</v>
      </c>
      <c r="X121" s="134">
        <f t="shared" si="59"/>
        <v>0</v>
      </c>
      <c r="Y121" s="7">
        <f t="shared" si="59"/>
        <v>0</v>
      </c>
      <c r="Z121" s="7">
        <f t="shared" si="59"/>
        <v>47758.799999999996</v>
      </c>
      <c r="AB121" s="142">
        <f>SUM(AB95:AB103,AB105:AB120)</f>
        <v>47158700</v>
      </c>
      <c r="AC121" s="167">
        <f>AB121/(Z121*1000)</f>
        <v>0.9874347764181681</v>
      </c>
      <c r="AF121" s="34">
        <f>SUM(AF95:AF120)</f>
        <v>37916729.68</v>
      </c>
      <c r="AG121" s="117">
        <f>SUM(AG95:AG120)</f>
        <v>9042455.63</v>
      </c>
      <c r="AJ121" s="34">
        <f>SUM(AJ95:AJ103,AJ105:AJ120)</f>
        <v>45372987</v>
      </c>
      <c r="AK121" s="303">
        <f>SUM(AK95:AK120)</f>
        <v>1765000</v>
      </c>
    </row>
    <row r="122" spans="13:37" ht="12.75">
      <c r="M122" s="33">
        <f>42580462.26-4628467.98-M121</f>
        <v>-9027904.030000001</v>
      </c>
      <c r="P122" s="33"/>
      <c r="Z122" s="53">
        <f>56125-9835-Z121</f>
        <v>-1468.7999999999956</v>
      </c>
      <c r="AB122" s="201">
        <f>53619943.28*0+11/11*55208943.28-9835956.28-AB121</f>
        <v>-1785713</v>
      </c>
      <c r="AC122" s="164"/>
      <c r="AF122" s="33">
        <f>42580462.26-4628467.98-AF121</f>
        <v>35264.60000000149</v>
      </c>
      <c r="AJ122" s="57">
        <f>53619943.28*0+11/11*55208943.28-9835956.28-AJ121</f>
        <v>0</v>
      </c>
      <c r="AK122" s="240"/>
    </row>
    <row r="123" spans="1:37" ht="12.75">
      <c r="A123" s="95" t="s">
        <v>58</v>
      </c>
      <c r="B123" s="44">
        <f>SUM(B29:B122)/2</f>
        <v>216659.5</v>
      </c>
      <c r="C123" s="44">
        <f>SUM(C29:C122)/2</f>
        <v>264512.425</v>
      </c>
      <c r="D123" s="44">
        <f>SUM(D29:D122)/2</f>
        <v>253090.07499999998</v>
      </c>
      <c r="E123" s="45">
        <f>E91+E121</f>
        <v>81875</v>
      </c>
      <c r="F123" s="45">
        <f>F91+F121</f>
        <v>47758.799999999996</v>
      </c>
      <c r="G123" s="45">
        <f>G91+G121</f>
        <v>2341</v>
      </c>
      <c r="H123" s="220">
        <f>H91+H121</f>
        <v>10798.9</v>
      </c>
      <c r="I123" s="221">
        <f>I91+I121</f>
        <v>-787.9000400000007</v>
      </c>
      <c r="J123" s="220"/>
      <c r="K123" s="222">
        <f>K91+K121</f>
        <v>141985.79996</v>
      </c>
      <c r="L123" s="223"/>
      <c r="M123" s="224">
        <f>M91+M121</f>
        <v>131399281.09</v>
      </c>
      <c r="N123" s="168">
        <f>M123/(K123*1000)</f>
        <v>0.9254395941496796</v>
      </c>
      <c r="O123" s="61"/>
      <c r="P123" s="96"/>
      <c r="T123" s="108">
        <f aca="true" t="shared" si="60" ref="T123:Z123">T91+T121</f>
        <v>81875.00000496913</v>
      </c>
      <c r="U123" s="108">
        <f t="shared" si="60"/>
        <v>47758.799999999996</v>
      </c>
      <c r="V123" s="108">
        <f t="shared" si="60"/>
        <v>2341</v>
      </c>
      <c r="W123" s="108">
        <f t="shared" si="60"/>
        <v>10048.9</v>
      </c>
      <c r="X123" s="108">
        <f t="shared" si="60"/>
        <v>-897.9000000000001</v>
      </c>
      <c r="Y123" s="45">
        <f t="shared" si="60"/>
        <v>0</v>
      </c>
      <c r="Z123" s="108">
        <f t="shared" si="60"/>
        <v>141265.80000496912</v>
      </c>
      <c r="AA123" s="109"/>
      <c r="AB123" s="144">
        <f>AB91+AB121</f>
        <v>132305516.09</v>
      </c>
      <c r="AC123" s="168">
        <f>AB123/(Z123*1000)</f>
        <v>0.9365714566819858</v>
      </c>
      <c r="AF123" s="224">
        <f>AF91+AF121</f>
        <v>110372126.73000002</v>
      </c>
      <c r="AG123" s="216"/>
      <c r="AJ123" s="294">
        <f>AJ91+AJ121</f>
        <v>115937413.94000001</v>
      </c>
      <c r="AK123" s="233"/>
    </row>
    <row r="124" spans="7:38" ht="12.75">
      <c r="G124" s="24">
        <f>E123+3/3*((F123-16325.3)-111820.8*0)*0+6/6*((F123-5427.8-9/9*(-500+350+62+162.1+71.9))-122979.3*0)+G123</f>
        <v>126401</v>
      </c>
      <c r="H124" s="193">
        <f>E123+3/3*((F123-16325.3)-111820.8*0)*0+6/6*((F123-5427.8)-122979.3*0)*0+F123+G123+H123-139206*0</f>
        <v>142773.69999999998</v>
      </c>
      <c r="P124" s="96"/>
      <c r="T124" s="137">
        <f>T123-E123</f>
        <v>4.969129804521799E-06</v>
      </c>
      <c r="U124" s="137">
        <f>U123-F123</f>
        <v>0</v>
      </c>
      <c r="V124" s="137">
        <f>V123-G123</f>
        <v>0</v>
      </c>
      <c r="W124" s="137">
        <f>W123-H123</f>
        <v>-750</v>
      </c>
      <c r="X124" s="137">
        <f>X123-I123</f>
        <v>-109.99995999999942</v>
      </c>
      <c r="Z124" s="137">
        <f>Z123-K123</f>
        <v>-719.9999550308858</v>
      </c>
      <c r="AB124" s="143">
        <f>AB92+AB94+AB104</f>
        <v>906235.0000000037</v>
      </c>
      <c r="AC124" s="164"/>
      <c r="AG124" s="201"/>
      <c r="AJ124" s="293">
        <f>AJ92+AJ94+AJ104</f>
        <v>115889675.84000002</v>
      </c>
      <c r="AK124" s="240"/>
      <c r="AL124" s="57"/>
    </row>
    <row r="125" spans="1:38" ht="12.75">
      <c r="A125" s="199"/>
      <c r="K125" s="201">
        <f>239015*0+10/10*240967*0+11/11*241267*0+12/12*241678.8-99663-K123</f>
        <v>30.000039999984438</v>
      </c>
      <c r="M125" s="33">
        <f>(6874101.73-3669034+2/2*8120068.87)*0+2/2*(22708837.7-11383701.1)*0+3/3*(45311290.68-22142988.1)*0+4/4*(62279430.44-31932729.73)*0+5/5*(77000842.26-38543883.44)*0+6/6*(96936311.76-47425152.03)*0+7/7*(120561766.39-61263699.24)*0+8/8*(143759931.77-71212559.24)*0+9/9*(174459890.57-85895319.24)*0+10/10*(199878340.24-97587627.13)*0+11/11*(218967744.86-108595618.13)*0+12/12*(252643887.37-121244606.28)-M123</f>
        <v>0</v>
      </c>
      <c r="V125" s="24">
        <f>T123+3/3*((U123-16325.3)-111820.8*0)*0+6/6*((U123-5427.8-9/9*(-500+350+62+162.1+71.9))-122979.3*0)+V123</f>
        <v>126401.00000496913</v>
      </c>
      <c r="W125" s="140">
        <f>T123+3/3*((U123-16325.3)-111820.8*0)*0+6/6*((U123-5427.8)-122979.3*0)*0+U123+V123+W123-139206*0</f>
        <v>142023.7000049691</v>
      </c>
      <c r="AC125" s="164"/>
      <c r="AK125" s="240"/>
      <c r="AL125" s="57"/>
    </row>
    <row r="126" spans="1:28" ht="12.75">
      <c r="A126" s="199"/>
      <c r="F126" s="21"/>
      <c r="K126" s="96"/>
      <c r="L126" s="96"/>
      <c r="Z126" s="53">
        <f>4/4*(221779.4-99663)*0+5/5*(122979.3*0+(122718.3+222381.3-99663))*0+6/6*(127979.3)*0+7/7*(236553.1-99663)*0+9/9*(238265-99663)*0+10/10*(240217-99663)*0+11/11*(240517-99663)*0+12/12*(240928.8-99663)-Z123</f>
        <v>-4.969129804521799E-06</v>
      </c>
      <c r="AB126" s="53">
        <f>(11066609-3669034+2/2*5812577.71)*0+(24593853.81-11383701.1)*0+3/3*(49113077.73-22142988.1)*0+4/4*(65680036.61-31932729.73)*0+5/5*(90382289.03-38543883.44)*0+6/6*(112389490.95-47425152.03)*0+7/7*(138668299.41-61263699.24)*0+8/8*(165110414.69-71212559.24)*0+9/9*(187982350.56-85895319.24)*0+10/10*(207064651.07-97587627.13)*0+11/11*(224533032.07-108595618.13)*0+12/12*(253550122.37-121244606.28)-AB123</f>
        <v>0</v>
      </c>
    </row>
    <row r="127" spans="6:38" ht="12.75">
      <c r="F127" s="21"/>
      <c r="K127" s="96"/>
      <c r="M127" s="96">
        <f>M125+P79</f>
        <v>-7.457856554538012E-09</v>
      </c>
      <c r="Z127" s="88" t="s">
        <v>88</v>
      </c>
      <c r="AB127" s="53">
        <f>AB123-M123</f>
        <v>906235</v>
      </c>
      <c r="AC127" s="53">
        <f>AB127-M125</f>
        <v>906235</v>
      </c>
      <c r="AH127" s="162"/>
      <c r="AI127" s="163"/>
      <c r="AK127" s="240"/>
      <c r="AL127" s="295"/>
    </row>
    <row r="128" spans="11:38" ht="12.75">
      <c r="K128" s="96"/>
      <c r="W128" s="53" t="s">
        <v>157</v>
      </c>
      <c r="Z128" s="88">
        <f>Z123-K123</f>
        <v>-719.9999550308858</v>
      </c>
      <c r="AB128" s="53">
        <f>4/4*(65680036.61-62279430.44)*0+5/5*(51838405.59-38456958.82)*0+6/6*(64964338.92-59298067.15)*0+7/7*(77404600.17-59298067.15)*0+8/8*(93897855.45-72547372.53)*0+10/10*(109477023.94-102290713.11)*0+11/11*(115937413.94-110372126.73)*0+12/12*(253550122.37-252643887.37)-AB127</f>
        <v>0</v>
      </c>
      <c r="AH128" s="162"/>
      <c r="AI128" s="163"/>
      <c r="AK128" s="304"/>
      <c r="AL128" s="295"/>
    </row>
    <row r="129" spans="11:38" ht="12.75">
      <c r="K129" s="96"/>
      <c r="AH129" s="162"/>
      <c r="AI129" s="163"/>
      <c r="AK129" s="304"/>
      <c r="AL129" s="295"/>
    </row>
    <row r="130" spans="11:38" ht="12.75">
      <c r="K130" s="96"/>
      <c r="X130" s="81"/>
      <c r="Y130" s="81"/>
      <c r="Z130" s="309" t="s">
        <v>184</v>
      </c>
      <c r="AA130" s="207"/>
      <c r="AB130" s="88">
        <f>AB127-(AE104+AE105+AE102)</f>
        <v>727433.3099999987</v>
      </c>
      <c r="AH130" s="162"/>
      <c r="AI130" s="163"/>
      <c r="AK130" s="304"/>
      <c r="AL130" s="295"/>
    </row>
    <row r="131" spans="11:38" ht="12.75">
      <c r="K131" s="96"/>
      <c r="W131" s="150"/>
      <c r="X131" s="151"/>
      <c r="Y131" s="152"/>
      <c r="Z131" s="149"/>
      <c r="AA131" s="153"/>
      <c r="AB131" s="266">
        <f>AB130-AB92</f>
        <v>-3.725290298461914E-09</v>
      </c>
      <c r="AC131" s="171"/>
      <c r="AD131" s="155"/>
      <c r="AE131" s="156"/>
      <c r="AH131" s="162"/>
      <c r="AI131" s="163"/>
      <c r="AJ131" s="296"/>
      <c r="AK131" s="304"/>
      <c r="AL131" s="295"/>
    </row>
    <row r="132" spans="23:38" ht="12.75">
      <c r="W132" s="150"/>
      <c r="X132" s="151"/>
      <c r="Y132" s="152"/>
      <c r="Z132" s="149"/>
      <c r="AA132" s="150"/>
      <c r="AB132" s="154"/>
      <c r="AC132" s="171"/>
      <c r="AD132" s="155"/>
      <c r="AE132" s="156"/>
      <c r="AH132" s="162"/>
      <c r="AI132" s="163"/>
      <c r="AJ132" s="296"/>
      <c r="AK132" s="304"/>
      <c r="AL132" s="295"/>
    </row>
    <row r="133" spans="23:38" ht="36.75" customHeight="1">
      <c r="W133" s="150"/>
      <c r="X133" s="151"/>
      <c r="Y133" s="152"/>
      <c r="Z133" s="149"/>
      <c r="AA133" s="150"/>
      <c r="AB133" s="157"/>
      <c r="AC133" s="172"/>
      <c r="AD133" s="158"/>
      <c r="AE133" s="158"/>
      <c r="AH133" s="162"/>
      <c r="AI133" s="163"/>
      <c r="AJ133" s="297"/>
      <c r="AK133" s="304"/>
      <c r="AL133" s="295"/>
    </row>
    <row r="134" spans="23:36" ht="24.75" customHeight="1">
      <c r="W134" s="150"/>
      <c r="X134" s="151"/>
      <c r="Y134" s="152"/>
      <c r="Z134" s="149"/>
      <c r="AA134" s="153"/>
      <c r="AB134" s="159"/>
      <c r="AC134" s="173"/>
      <c r="AD134" s="160"/>
      <c r="AE134" s="160"/>
      <c r="AJ134" s="298"/>
    </row>
    <row r="135" spans="23:36" ht="12.75">
      <c r="W135" s="150"/>
      <c r="X135" s="151"/>
      <c r="Y135" s="152"/>
      <c r="Z135" s="150"/>
      <c r="AA135" s="153"/>
      <c r="AB135" s="161"/>
      <c r="AC135" s="171"/>
      <c r="AD135" s="155"/>
      <c r="AE135" s="156"/>
      <c r="AJ135" s="299"/>
    </row>
    <row r="136" spans="23:36" ht="12.75">
      <c r="W136" s="150"/>
      <c r="X136" s="151"/>
      <c r="Y136" s="152"/>
      <c r="Z136" s="150"/>
      <c r="AA136" s="153"/>
      <c r="AB136" s="161"/>
      <c r="AC136" s="171"/>
      <c r="AD136" s="155"/>
      <c r="AE136" s="156"/>
      <c r="AJ136" s="299"/>
    </row>
    <row r="137" spans="23:36" ht="12.75">
      <c r="W137" s="150"/>
      <c r="X137" s="151"/>
      <c r="Y137" s="152"/>
      <c r="Z137" s="150"/>
      <c r="AA137" s="153"/>
      <c r="AB137" s="161"/>
      <c r="AC137" s="171"/>
      <c r="AD137" s="155"/>
      <c r="AE137" s="156"/>
      <c r="AJ137" s="299"/>
    </row>
    <row r="138" spans="23:36" ht="12.75">
      <c r="W138" s="147"/>
      <c r="X138" s="148"/>
      <c r="Y138" s="149"/>
      <c r="Z138" s="149"/>
      <c r="AA138" s="153"/>
      <c r="AB138" s="161"/>
      <c r="AC138" s="171"/>
      <c r="AD138" s="155"/>
      <c r="AE138" s="156"/>
      <c r="AJ138" s="299"/>
    </row>
  </sheetData>
  <mergeCells count="9">
    <mergeCell ref="T1:AC1"/>
    <mergeCell ref="AJ1:AM1"/>
    <mergeCell ref="F2:K2"/>
    <mergeCell ref="AL72:AM72"/>
    <mergeCell ref="AF1:AI1"/>
    <mergeCell ref="M3:N3"/>
    <mergeCell ref="AB3:AC3"/>
    <mergeCell ref="U2:Z2"/>
    <mergeCell ref="E1:N1"/>
  </mergeCells>
  <printOptions gridLines="1"/>
  <pageMargins left="0.1968503937007874" right="0" top="0.3937007874015748" bottom="0.4724409448818898" header="0.1968503937007874" footer="0.31496062992125984"/>
  <pageSetup horizontalDpi="600" verticalDpi="600" orientation="landscape" paperSize="9" scale="63" r:id="rId1"/>
  <headerFooter alignWithMargins="0">
    <oddHeader xml:space="preserve">&amp;L&amp;"Arial,tučné kurzíva"&amp;11Hospodaření MČ 1-12/2010&amp;R&amp;"Arial,tučné kurzíva"RMČ 02.02.2011 příl 2a  </oddHeader>
    <oddFooter>&amp;L&amp;F&amp;R&amp;P</oddFooter>
  </headerFooter>
  <rowBreaks count="2" manualBreakCount="2">
    <brk id="51" max="255" man="1"/>
    <brk id="92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Radotín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Tišlová</dc:creator>
  <cp:keywords/>
  <dc:description/>
  <cp:lastModifiedBy>Marta Tišlová</cp:lastModifiedBy>
  <cp:lastPrinted>2011-01-27T11:44:11Z</cp:lastPrinted>
  <dcterms:created xsi:type="dcterms:W3CDTF">2009-11-29T19:02:18Z</dcterms:created>
  <dcterms:modified xsi:type="dcterms:W3CDTF">2011-01-27T11:55:29Z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