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085" windowHeight="4980" activeTab="0"/>
  </bookViews>
  <sheets>
    <sheet name="Hosp MČ SR UR skut 10 2007" sheetId="1" r:id="rId1"/>
  </sheets>
  <definedNames>
    <definedName name="_xlnm.Print_Titles" localSheetId="0">'Hosp MČ SR UR skut 10 2007'!$1:$2</definedName>
  </definedNames>
  <calcPr fullCalcOnLoad="1"/>
</workbook>
</file>

<file path=xl/sharedStrings.xml><?xml version="1.0" encoding="utf-8"?>
<sst xmlns="http://schemas.openxmlformats.org/spreadsheetml/2006/main" count="263" uniqueCount="181">
  <si>
    <t>soc-zdrav</t>
  </si>
  <si>
    <t>příspěvek na péči</t>
  </si>
  <si>
    <t>školství</t>
  </si>
  <si>
    <t>úprava rozpočtu</t>
  </si>
  <si>
    <t>rozvoj obce</t>
  </si>
  <si>
    <t>sběrný dvůr</t>
  </si>
  <si>
    <t>dětská hřiště</t>
  </si>
  <si>
    <t>upravený rozpočet</t>
  </si>
  <si>
    <t>komunikace</t>
  </si>
  <si>
    <t>Radk-Stráž</t>
  </si>
  <si>
    <t>Safír</t>
  </si>
  <si>
    <t>vodní hosp.</t>
  </si>
  <si>
    <t>Mateřská škola</t>
  </si>
  <si>
    <t>Základní škola</t>
  </si>
  <si>
    <t>Školní jídelna</t>
  </si>
  <si>
    <t>ZUŠ</t>
  </si>
  <si>
    <t>LSPP</t>
  </si>
  <si>
    <t>prevence</t>
  </si>
  <si>
    <t>4174-99</t>
  </si>
  <si>
    <t>dávky soc. péče</t>
  </si>
  <si>
    <t>dům s peč.sl</t>
  </si>
  <si>
    <t xml:space="preserve">nový dům s peč. sl </t>
  </si>
  <si>
    <t>strav. zařízení</t>
  </si>
  <si>
    <t>peč. služba</t>
  </si>
  <si>
    <t>péče</t>
  </si>
  <si>
    <t>jesle</t>
  </si>
  <si>
    <t>soc. právní ochrana dětí</t>
  </si>
  <si>
    <t>kultura</t>
  </si>
  <si>
    <t>kino</t>
  </si>
  <si>
    <t>knihovna</t>
  </si>
  <si>
    <t>kult.střed</t>
  </si>
  <si>
    <t>hřiště</t>
  </si>
  <si>
    <t>bezpečnost</t>
  </si>
  <si>
    <t>JSDH</t>
  </si>
  <si>
    <t>JSDH účel</t>
  </si>
  <si>
    <t>hospodářství</t>
  </si>
  <si>
    <t>Domovní správa</t>
  </si>
  <si>
    <t>Techn. služby</t>
  </si>
  <si>
    <t>správa</t>
  </si>
  <si>
    <t>ZMČ</t>
  </si>
  <si>
    <t>ÚMČ</t>
  </si>
  <si>
    <t>V Ý D A J E</t>
  </si>
  <si>
    <t>P Ř Í J M Y</t>
  </si>
  <si>
    <t>stát DSP</t>
  </si>
  <si>
    <t>DPPO</t>
  </si>
  <si>
    <t>nahod</t>
  </si>
  <si>
    <t>úroky</t>
  </si>
  <si>
    <t>FV 2006</t>
  </si>
  <si>
    <t>UZ 13306</t>
  </si>
  <si>
    <t>UZ 13235</t>
  </si>
  <si>
    <t>MP 1341-5,7</t>
  </si>
  <si>
    <t>kamer.syst</t>
  </si>
  <si>
    <t>Gymnasium</t>
  </si>
  <si>
    <t>klub</t>
  </si>
  <si>
    <t>Noviny P 16</t>
  </si>
  <si>
    <t>čp. 21</t>
  </si>
  <si>
    <t>čp. 23</t>
  </si>
  <si>
    <t>čp. 732</t>
  </si>
  <si>
    <t>čp. 1379</t>
  </si>
  <si>
    <t xml:space="preserve"> TS objekt, služby</t>
  </si>
  <si>
    <t>infrastr</t>
  </si>
  <si>
    <r>
      <t>schválený</t>
    </r>
    <r>
      <rPr>
        <b/>
        <i/>
        <sz val="8"/>
        <rFont val="Arial CE"/>
        <family val="2"/>
      </rPr>
      <t xml:space="preserve"> rozpočet 2007</t>
    </r>
  </si>
  <si>
    <t>2210 sankce:</t>
  </si>
  <si>
    <t>2321 neinv.dary:</t>
  </si>
  <si>
    <t>2322 poj.plnění:</t>
  </si>
  <si>
    <t>2329 nahodilé:</t>
  </si>
  <si>
    <t>2343 dobýv.:</t>
  </si>
  <si>
    <t>SprPopl 1361:</t>
  </si>
  <si>
    <t>DzN:</t>
  </si>
  <si>
    <t>4112 stát školství:</t>
  </si>
  <si>
    <t>4112 stát st.spr:</t>
  </si>
  <si>
    <t>4121 HMP:</t>
  </si>
  <si>
    <t>předpokl stavu úvěru 31/12/07</t>
  </si>
  <si>
    <t>4131 ekon:čin</t>
  </si>
  <si>
    <t>nyní 3539</t>
  </si>
  <si>
    <t>nyní 4375</t>
  </si>
  <si>
    <t>nyní 4351/1</t>
  </si>
  <si>
    <t>nyní 4351/2</t>
  </si>
  <si>
    <t>nyní 4351/3</t>
  </si>
  <si>
    <t>nyní 4351</t>
  </si>
  <si>
    <t>nyní 3639</t>
  </si>
  <si>
    <t>výsledek</t>
  </si>
  <si>
    <t xml:space="preserve"> V Ý D A J E</t>
  </si>
  <si>
    <t xml:space="preserve"> P Ř Í J M Y</t>
  </si>
  <si>
    <t>2 0 0 7</t>
  </si>
  <si>
    <t>hřbit.popl ÚMČ</t>
  </si>
  <si>
    <t>Účelové prostředky poskytnuté státem nebo HMP:</t>
  </si>
  <si>
    <t xml:space="preserve"> 00090</t>
  </si>
  <si>
    <t>VÝDAJE  účel. prostř</t>
  </si>
  <si>
    <t>VÝDAJE  c e l k e m</t>
  </si>
  <si>
    <t>PŘÍJMY účel. prostř</t>
  </si>
  <si>
    <t>PŘÍJMY  c e l k e m</t>
  </si>
  <si>
    <t>výsledek účel. prostř</t>
  </si>
  <si>
    <t>výsledek  c e l k e m</t>
  </si>
  <si>
    <t xml:space="preserve"> </t>
  </si>
  <si>
    <t xml:space="preserve"> 00081</t>
  </si>
  <si>
    <t>HMP účel</t>
  </si>
  <si>
    <t>ponech z roku 2006</t>
  </si>
  <si>
    <t xml:space="preserve"> 13306</t>
  </si>
  <si>
    <t xml:space="preserve"> 13235</t>
  </si>
  <si>
    <t>stát účel</t>
  </si>
  <si>
    <t>hřiště 8829</t>
  </si>
  <si>
    <t>JSDH účel 8895</t>
  </si>
  <si>
    <t>agenda soc. služeb</t>
  </si>
  <si>
    <t>agenda soc. právní ochrana dětí</t>
  </si>
  <si>
    <t xml:space="preserve"> 00084</t>
  </si>
  <si>
    <t>nadace VIA ponech z roku 2006</t>
  </si>
  <si>
    <t xml:space="preserve"> 98216</t>
  </si>
  <si>
    <t xml:space="preserve"> 98116</t>
  </si>
  <si>
    <t xml:space="preserve"> 02/ 3745</t>
  </si>
  <si>
    <t xml:space="preserve"> 02/ 3421</t>
  </si>
  <si>
    <t xml:space="preserve"> 02/ 2310</t>
  </si>
  <si>
    <t xml:space="preserve"> 02/ 3722</t>
  </si>
  <si>
    <t xml:space="preserve"> 03/ 2212</t>
  </si>
  <si>
    <t xml:space="preserve"> 04/ 3113</t>
  </si>
  <si>
    <t xml:space="preserve"> 04/ 3111</t>
  </si>
  <si>
    <t xml:space="preserve"> 05/ 3513</t>
  </si>
  <si>
    <t>LSPP provoz</t>
  </si>
  <si>
    <t xml:space="preserve"> 05/ 3541</t>
  </si>
  <si>
    <t xml:space="preserve"> 06/ 3412</t>
  </si>
  <si>
    <t xml:space="preserve"> 06/ 3314</t>
  </si>
  <si>
    <t>Knihovna knihy</t>
  </si>
  <si>
    <t>sociální služby</t>
  </si>
  <si>
    <t>dětská hřiště 8846,8887</t>
  </si>
  <si>
    <t>nedočerp grant hřiště</t>
  </si>
  <si>
    <t xml:space="preserve"> 02/3421</t>
  </si>
  <si>
    <t>DDH vybavení</t>
  </si>
  <si>
    <t xml:space="preserve"> 03/2212</t>
  </si>
  <si>
    <t xml:space="preserve"> 09/6171</t>
  </si>
  <si>
    <t>SSP poštovné</t>
  </si>
  <si>
    <t xml:space="preserve"> 98031</t>
  </si>
  <si>
    <t>ZOZ</t>
  </si>
  <si>
    <r>
      <t xml:space="preserve">   4375      </t>
    </r>
    <r>
      <rPr>
        <strike/>
        <sz val="7"/>
        <rFont val="Arial CE"/>
        <family val="2"/>
      </rPr>
      <t>4329</t>
    </r>
  </si>
  <si>
    <t>viz HMP účel</t>
  </si>
  <si>
    <t>viz stát účel</t>
  </si>
  <si>
    <t>2460 SFZ</t>
  </si>
  <si>
    <r>
      <t xml:space="preserve">    3539    </t>
    </r>
    <r>
      <rPr>
        <strike/>
        <sz val="8"/>
        <rFont val="Arial CE"/>
        <family val="2"/>
      </rPr>
      <t>4322</t>
    </r>
  </si>
  <si>
    <t xml:space="preserve"> 05/4375</t>
  </si>
  <si>
    <t>klub prev.kriminality</t>
  </si>
  <si>
    <t xml:space="preserve"> 98064</t>
  </si>
  <si>
    <t>jen 4329</t>
  </si>
  <si>
    <t xml:space="preserve"> 07/5512</t>
  </si>
  <si>
    <t>JSDH vyb,údržba</t>
  </si>
  <si>
    <t xml:space="preserve"> 07/ 5512</t>
  </si>
  <si>
    <t>čp. 1368,2105,NZZ</t>
  </si>
  <si>
    <t>mzdy st.správy</t>
  </si>
  <si>
    <t>vodovod K Lázním</t>
  </si>
  <si>
    <t>péče o mládež LDT</t>
  </si>
  <si>
    <r>
      <t xml:space="preserve">péče o důchodce </t>
    </r>
    <r>
      <rPr>
        <sz val="7"/>
        <rFont val="Arial CE"/>
        <family val="2"/>
      </rPr>
      <t>balíčky atd</t>
    </r>
  </si>
  <si>
    <t>SFZ tvorba:</t>
  </si>
  <si>
    <r>
      <t xml:space="preserve">  4351     </t>
    </r>
    <r>
      <rPr>
        <sz val="7"/>
        <rFont val="Arial CE"/>
        <family val="2"/>
      </rPr>
      <t>4314</t>
    </r>
  </si>
  <si>
    <r>
      <t xml:space="preserve"> 4351/1    </t>
    </r>
    <r>
      <rPr>
        <sz val="7"/>
        <rFont val="Arial CE"/>
        <family val="2"/>
      </rPr>
      <t>4312</t>
    </r>
  </si>
  <si>
    <t>org 715 kronika</t>
  </si>
  <si>
    <t>00099</t>
  </si>
  <si>
    <r>
      <t xml:space="preserve">revit.poz. TS </t>
    </r>
    <r>
      <rPr>
        <i/>
        <sz val="8"/>
        <rFont val="Arial CE"/>
        <family val="2"/>
      </rPr>
      <t>4169</t>
    </r>
  </si>
  <si>
    <r>
      <t xml:space="preserve">revit.poz. TS </t>
    </r>
    <r>
      <rPr>
        <i/>
        <sz val="8"/>
        <rFont val="Arial CE"/>
        <family val="2"/>
      </rPr>
      <t>4516</t>
    </r>
  </si>
  <si>
    <r>
      <t xml:space="preserve">Radk-Stráž </t>
    </r>
    <r>
      <rPr>
        <i/>
        <sz val="8"/>
        <rFont val="Arial CE"/>
        <family val="2"/>
      </rPr>
      <t>8415</t>
    </r>
  </si>
  <si>
    <r>
      <t>4375</t>
    </r>
    <r>
      <rPr>
        <sz val="8"/>
        <rFont val="Arial CE"/>
        <family val="2"/>
      </rPr>
      <t xml:space="preserve">     4329   .</t>
    </r>
  </si>
  <si>
    <t xml:space="preserve"> účetní stav   31.10.2007</t>
  </si>
  <si>
    <t>vč. posv. 8.000</t>
  </si>
  <si>
    <r>
      <t xml:space="preserve">SFZ </t>
    </r>
    <r>
      <rPr>
        <sz val="7"/>
        <rFont val="Arial CE"/>
        <family val="2"/>
      </rPr>
      <t>tvorba 3%</t>
    </r>
  </si>
  <si>
    <t>vč. z (9) 2.200</t>
  </si>
  <si>
    <t>ZMČ vč.posv 4.163,50</t>
  </si>
  <si>
    <t>FV 2006 vč SSP 1.510 tis  .</t>
  </si>
  <si>
    <r>
      <t xml:space="preserve">úprava rozpočtu </t>
    </r>
    <r>
      <rPr>
        <b/>
        <i/>
        <sz val="7"/>
        <rFont val="Arial CE"/>
        <family val="2"/>
      </rPr>
      <t>vlastní MČ</t>
    </r>
  </si>
  <si>
    <t xml:space="preserve"> = vlastní prostř. MČ + ponech z roku 2006</t>
  </si>
  <si>
    <r>
      <t xml:space="preserve"> 4351/2    </t>
    </r>
    <r>
      <rPr>
        <sz val="7"/>
        <rFont val="Arial CE"/>
        <family val="2"/>
      </rPr>
      <t xml:space="preserve"> 4312/1</t>
    </r>
  </si>
  <si>
    <r>
      <t xml:space="preserve"> 4351/3     </t>
    </r>
    <r>
      <rPr>
        <sz val="7"/>
        <rFont val="Arial CE"/>
        <family val="2"/>
      </rPr>
      <t>43122/2</t>
    </r>
  </si>
  <si>
    <t>klub VIA</t>
  </si>
  <si>
    <r>
      <t xml:space="preserve">ponech z roku 2006  </t>
    </r>
    <r>
      <rPr>
        <i/>
        <sz val="8"/>
        <rFont val="Arial CE"/>
        <family val="2"/>
      </rPr>
      <t>90,1</t>
    </r>
  </si>
  <si>
    <r>
      <t xml:space="preserve">ponech z roku 2006  </t>
    </r>
    <r>
      <rPr>
        <i/>
        <sz val="8"/>
        <rFont val="Arial CE"/>
        <family val="2"/>
      </rPr>
      <t>219,6</t>
    </r>
  </si>
  <si>
    <r>
      <t xml:space="preserve">ponech z roku 2006 </t>
    </r>
    <r>
      <rPr>
        <i/>
        <sz val="8"/>
        <rFont val="Arial CE"/>
        <family val="2"/>
      </rPr>
      <t>68,2</t>
    </r>
  </si>
  <si>
    <r>
      <t xml:space="preserve">ponech z roku 2006 </t>
    </r>
    <r>
      <rPr>
        <i/>
        <sz val="8"/>
        <rFont val="Arial CE"/>
        <family val="2"/>
      </rPr>
      <t>97,6</t>
    </r>
  </si>
  <si>
    <r>
      <t xml:space="preserve">Základní škola </t>
    </r>
    <r>
      <rPr>
        <i/>
        <sz val="8"/>
        <rFont val="Arial CE"/>
        <family val="2"/>
      </rPr>
      <t xml:space="preserve">7599 </t>
    </r>
    <r>
      <rPr>
        <sz val="8"/>
        <rFont val="Arial CE"/>
        <family val="2"/>
      </rPr>
      <t>statika, …</t>
    </r>
  </si>
  <si>
    <r>
      <t xml:space="preserve">Mateřská škola </t>
    </r>
    <r>
      <rPr>
        <i/>
        <sz val="8"/>
        <rFont val="Arial CE"/>
        <family val="2"/>
      </rPr>
      <t xml:space="preserve">8425 </t>
    </r>
    <r>
      <rPr>
        <sz val="8"/>
        <rFont val="Arial CE"/>
        <family val="2"/>
      </rPr>
      <t>okna,termovent</t>
    </r>
  </si>
  <si>
    <t>Skate park 4387</t>
  </si>
  <si>
    <t>Sport.hala 8233</t>
  </si>
  <si>
    <r>
      <t xml:space="preserve">DDH vybudování </t>
    </r>
    <r>
      <rPr>
        <i/>
        <sz val="8"/>
        <rFont val="Arial CE"/>
        <family val="2"/>
      </rPr>
      <t>4491</t>
    </r>
  </si>
  <si>
    <r>
      <t xml:space="preserve">DDH vybudování </t>
    </r>
    <r>
      <rPr>
        <i/>
        <sz val="8"/>
        <rFont val="Arial CE"/>
        <family val="2"/>
      </rPr>
      <t>4635</t>
    </r>
  </si>
  <si>
    <r>
      <t xml:space="preserve">výkup pozemků </t>
    </r>
    <r>
      <rPr>
        <i/>
        <sz val="8"/>
        <rFont val="Arial CE"/>
        <family val="2"/>
      </rPr>
      <t>4668</t>
    </r>
  </si>
  <si>
    <r>
      <t>ÚMČ</t>
    </r>
    <r>
      <rPr>
        <sz val="7"/>
        <rFont val="Arial CE"/>
        <family val="2"/>
      </rPr>
      <t xml:space="preserve"> služby (DPPO 2006)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</si>
</sst>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2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7"/>
      <name val="Arial CE"/>
      <family val="2"/>
    </font>
    <font>
      <b/>
      <i/>
      <sz val="7"/>
      <name val="Arial CE"/>
      <family val="2"/>
    </font>
    <font>
      <sz val="7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strike/>
      <sz val="7"/>
      <name val="Arial CE"/>
      <family val="2"/>
    </font>
    <font>
      <strike/>
      <sz val="8"/>
      <name val="Arial CE"/>
      <family val="2"/>
    </font>
    <font>
      <sz val="14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double"/>
    </border>
    <border>
      <left style="thin"/>
      <right style="medium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6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64" fontId="1" fillId="0" borderId="4" xfId="0" applyNumberFormat="1" applyFont="1" applyFill="1" applyBorder="1" applyAlignment="1">
      <alignment wrapText="1"/>
    </xf>
    <xf numFmtId="164" fontId="4" fillId="0" borderId="4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64" fontId="1" fillId="0" borderId="9" xfId="0" applyNumberFormat="1" applyFont="1" applyFill="1" applyBorder="1" applyAlignment="1">
      <alignment wrapText="1"/>
    </xf>
    <xf numFmtId="164" fontId="6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8" fillId="0" borderId="19" xfId="0" applyNumberFormat="1" applyFont="1" applyFill="1" applyBorder="1" applyAlignment="1">
      <alignment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>
      <alignment/>
    </xf>
    <xf numFmtId="49" fontId="13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 wrapText="1"/>
    </xf>
    <xf numFmtId="164" fontId="1" fillId="0" borderId="21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4" fillId="0" borderId="23" xfId="0" applyNumberFormat="1" applyFont="1" applyFill="1" applyBorder="1" applyAlignment="1" applyProtection="1">
      <alignment/>
      <protection/>
    </xf>
    <xf numFmtId="164" fontId="5" fillId="0" borderId="19" xfId="0" applyNumberFormat="1" applyFont="1" applyFill="1" applyBorder="1" applyAlignment="1" applyProtection="1">
      <alignment/>
      <protection/>
    </xf>
    <xf numFmtId="4" fontId="13" fillId="0" borderId="24" xfId="0" applyNumberFormat="1" applyFont="1" applyFill="1" applyBorder="1" applyAlignment="1" applyProtection="1">
      <alignment/>
      <protection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4" fontId="13" fillId="0" borderId="19" xfId="0" applyNumberFormat="1" applyFont="1" applyFill="1" applyBorder="1" applyAlignment="1" applyProtection="1">
      <alignment/>
      <protection/>
    </xf>
    <xf numFmtId="4" fontId="13" fillId="0" borderId="2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right"/>
      <protection/>
    </xf>
    <xf numFmtId="164" fontId="3" fillId="0" borderId="28" xfId="0" applyNumberFormat="1" applyFont="1" applyFill="1" applyBorder="1" applyAlignment="1">
      <alignment wrapText="1"/>
    </xf>
    <xf numFmtId="17" fontId="1" fillId="0" borderId="28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/>
      <protection/>
    </xf>
    <xf numFmtId="0" fontId="13" fillId="0" borderId="26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7" fillId="0" borderId="30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7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5" xfId="0" applyNumberFormat="1" applyFont="1" applyFill="1" applyBorder="1" applyAlignment="1">
      <alignment/>
    </xf>
    <xf numFmtId="4" fontId="13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36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4" fontId="1" fillId="0" borderId="35" xfId="0" applyNumberFormat="1" applyFont="1" applyFill="1" applyBorder="1" applyAlignment="1">
      <alignment/>
    </xf>
    <xf numFmtId="4" fontId="11" fillId="0" borderId="37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18" fillId="0" borderId="4" xfId="0" applyNumberFormat="1" applyFont="1" applyFill="1" applyBorder="1" applyAlignment="1">
      <alignment/>
    </xf>
    <xf numFmtId="4" fontId="18" fillId="0" borderId="37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0" fontId="4" fillId="0" borderId="39" xfId="0" applyNumberFormat="1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164" fontId="0" fillId="0" borderId="41" xfId="0" applyNumberFormat="1" applyFont="1" applyFill="1" applyBorder="1" applyAlignment="1">
      <alignment/>
    </xf>
    <xf numFmtId="10" fontId="1" fillId="0" borderId="42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4" fontId="1" fillId="0" borderId="43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164" fontId="11" fillId="0" borderId="4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 horizontal="center" wrapText="1"/>
    </xf>
    <xf numFmtId="4" fontId="1" fillId="0" borderId="48" xfId="0" applyNumberFormat="1" applyFont="1" applyFill="1" applyBorder="1" applyAlignment="1">
      <alignment horizontal="center" wrapText="1"/>
    </xf>
    <xf numFmtId="4" fontId="1" fillId="0" borderId="49" xfId="0" applyNumberFormat="1" applyFont="1" applyFill="1" applyBorder="1" applyAlignment="1">
      <alignment horizontal="center" wrapText="1"/>
    </xf>
    <xf numFmtId="4" fontId="1" fillId="0" borderId="5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51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1" fillId="0" borderId="42" xfId="0" applyNumberFormat="1" applyFont="1" applyFill="1" applyBorder="1" applyAlignment="1">
      <alignment/>
    </xf>
    <xf numFmtId="4" fontId="13" fillId="0" borderId="52" xfId="0" applyNumberFormat="1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4" fillId="0" borderId="1" xfId="0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/>
    </xf>
    <xf numFmtId="4" fontId="13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/>
    </xf>
    <xf numFmtId="4" fontId="17" fillId="0" borderId="5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4" fontId="13" fillId="0" borderId="53" xfId="0" applyNumberFormat="1" applyFont="1" applyFill="1" applyBorder="1" applyAlignment="1">
      <alignment/>
    </xf>
    <xf numFmtId="4" fontId="13" fillId="0" borderId="38" xfId="0" applyNumberFormat="1" applyFont="1" applyFill="1" applyBorder="1" applyAlignment="1">
      <alignment/>
    </xf>
    <xf numFmtId="4" fontId="13" fillId="0" borderId="54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1" fillId="0" borderId="55" xfId="0" applyFont="1" applyFill="1" applyBorder="1" applyAlignment="1">
      <alignment/>
    </xf>
    <xf numFmtId="164" fontId="6" fillId="0" borderId="22" xfId="0" applyNumberFormat="1" applyFont="1" applyFill="1" applyBorder="1" applyAlignment="1">
      <alignment wrapText="1"/>
    </xf>
    <xf numFmtId="4" fontId="1" fillId="0" borderId="56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17" fontId="1" fillId="0" borderId="1" xfId="0" applyNumberFormat="1" applyFont="1" applyFill="1" applyBorder="1" applyAlignment="1">
      <alignment/>
    </xf>
    <xf numFmtId="4" fontId="1" fillId="0" borderId="58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1" fillId="0" borderId="54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wrapText="1"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4" fontId="13" fillId="0" borderId="18" xfId="0" applyNumberFormat="1" applyFont="1" applyFill="1" applyBorder="1" applyAlignment="1" applyProtection="1">
      <alignment/>
      <protection/>
    </xf>
    <xf numFmtId="4" fontId="13" fillId="0" borderId="59" xfId="0" applyNumberFormat="1" applyFont="1" applyFill="1" applyBorder="1" applyAlignment="1" applyProtection="1">
      <alignment/>
      <protection/>
    </xf>
    <xf numFmtId="4" fontId="13" fillId="0" borderId="40" xfId="0" applyNumberFormat="1" applyFont="1" applyFill="1" applyBorder="1" applyAlignment="1" applyProtection="1">
      <alignment/>
      <protection/>
    </xf>
    <xf numFmtId="4" fontId="13" fillId="0" borderId="60" xfId="0" applyNumberFormat="1" applyFont="1" applyFill="1" applyBorder="1" applyAlignment="1" applyProtection="1">
      <alignment/>
      <protection/>
    </xf>
    <xf numFmtId="4" fontId="13" fillId="0" borderId="61" xfId="0" applyNumberFormat="1" applyFont="1" applyFill="1" applyBorder="1" applyAlignment="1" applyProtection="1">
      <alignment/>
      <protection/>
    </xf>
    <xf numFmtId="4" fontId="11" fillId="0" borderId="62" xfId="0" applyNumberFormat="1" applyFont="1" applyFill="1" applyBorder="1" applyAlignment="1" applyProtection="1">
      <alignment horizontal="right"/>
      <protection/>
    </xf>
    <xf numFmtId="4" fontId="11" fillId="0" borderId="63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" fontId="11" fillId="0" borderId="42" xfId="0" applyNumberFormat="1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0" fontId="12" fillId="0" borderId="60" xfId="0" applyNumberFormat="1" applyFont="1" applyFill="1" applyBorder="1" applyAlignment="1" applyProtection="1">
      <alignment horizontal="center" vertical="center"/>
      <protection/>
    </xf>
    <xf numFmtId="0" fontId="16" fillId="0" borderId="46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164" fontId="8" fillId="0" borderId="65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4" fontId="1" fillId="0" borderId="46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1" sqref="H11"/>
    </sheetView>
  </sheetViews>
  <sheetFormatPr defaultColWidth="9.00390625" defaultRowHeight="12.75"/>
  <cols>
    <col min="1" max="1" width="10.25390625" style="1" bestFit="1" customWidth="1"/>
    <col min="2" max="2" width="7.00390625" style="1" customWidth="1"/>
    <col min="3" max="3" width="11.75390625" style="1" customWidth="1"/>
    <col min="4" max="4" width="8.75390625" style="2" customWidth="1"/>
    <col min="5" max="5" width="8.75390625" style="3" customWidth="1"/>
    <col min="6" max="7" width="9.25390625" style="3" hidden="1" customWidth="1"/>
    <col min="8" max="8" width="9.25390625" style="94" customWidth="1"/>
    <col min="9" max="9" width="11.375" style="95" customWidth="1"/>
    <col min="10" max="10" width="8.75390625" style="95" customWidth="1"/>
    <col min="11" max="11" width="9.125" style="4" customWidth="1"/>
    <col min="12" max="12" width="9.25390625" style="4" customWidth="1"/>
    <col min="13" max="13" width="9.25390625" style="5" customWidth="1"/>
    <col min="14" max="15" width="9.25390625" style="5" hidden="1" customWidth="1"/>
    <col min="16" max="16" width="9.25390625" style="94" customWidth="1"/>
    <col min="17" max="17" width="11.375" style="95" customWidth="1"/>
    <col min="18" max="16384" width="9.125" style="78" customWidth="1"/>
  </cols>
  <sheetData>
    <row r="1" spans="1:17" ht="13.5" thickTop="1">
      <c r="A1" s="159" t="s">
        <v>84</v>
      </c>
      <c r="B1" s="160"/>
      <c r="C1" s="160"/>
      <c r="D1" s="163" t="s">
        <v>41</v>
      </c>
      <c r="E1" s="164"/>
      <c r="F1" s="164"/>
      <c r="G1" s="164"/>
      <c r="H1" s="164"/>
      <c r="I1" s="165"/>
      <c r="J1" s="104"/>
      <c r="K1" s="167"/>
      <c r="L1" s="163" t="s">
        <v>42</v>
      </c>
      <c r="M1" s="164"/>
      <c r="N1" s="164"/>
      <c r="O1" s="164"/>
      <c r="P1" s="164"/>
      <c r="Q1" s="166"/>
    </row>
    <row r="2" spans="1:17" s="79" customFormat="1" ht="33" thickBot="1">
      <c r="A2" s="161"/>
      <c r="B2" s="162"/>
      <c r="C2" s="162"/>
      <c r="D2" s="31" t="s">
        <v>61</v>
      </c>
      <c r="E2" s="32" t="s">
        <v>3</v>
      </c>
      <c r="F2" s="32"/>
      <c r="G2" s="32"/>
      <c r="H2" s="32" t="s">
        <v>7</v>
      </c>
      <c r="I2" s="105" t="s">
        <v>158</v>
      </c>
      <c r="J2" s="106"/>
      <c r="K2" s="168"/>
      <c r="L2" s="31" t="s">
        <v>61</v>
      </c>
      <c r="M2" s="32" t="s">
        <v>3</v>
      </c>
      <c r="N2" s="32"/>
      <c r="O2" s="32" t="s">
        <v>164</v>
      </c>
      <c r="P2" s="32" t="s">
        <v>7</v>
      </c>
      <c r="Q2" s="107" t="s">
        <v>158</v>
      </c>
    </row>
    <row r="3" spans="1:17" ht="13.5" thickTop="1">
      <c r="A3" s="24" t="s">
        <v>4</v>
      </c>
      <c r="B3" s="25">
        <v>2310</v>
      </c>
      <c r="C3" s="26" t="s">
        <v>146</v>
      </c>
      <c r="D3" s="27"/>
      <c r="E3" s="28">
        <f>195.1*0</f>
        <v>0</v>
      </c>
      <c r="F3" s="28"/>
      <c r="G3" s="28"/>
      <c r="H3" s="29">
        <f>D3+E3</f>
        <v>0</v>
      </c>
      <c r="I3" s="108"/>
      <c r="J3" s="109"/>
      <c r="K3" s="80"/>
      <c r="L3" s="30"/>
      <c r="M3" s="28">
        <f>195.1*0</f>
        <v>0</v>
      </c>
      <c r="N3" s="28"/>
      <c r="O3" s="28"/>
      <c r="P3" s="29">
        <f>L3+M3</f>
        <v>0</v>
      </c>
      <c r="Q3" s="110">
        <f>3/3*195100*0</f>
        <v>0</v>
      </c>
    </row>
    <row r="4" spans="1:17" ht="12.75">
      <c r="A4" s="24" t="s">
        <v>4</v>
      </c>
      <c r="B4" s="8">
        <v>3722</v>
      </c>
      <c r="C4" s="16" t="s">
        <v>5</v>
      </c>
      <c r="D4" s="17"/>
      <c r="E4" s="9">
        <f>3300*0</f>
        <v>0</v>
      </c>
      <c r="F4" s="9"/>
      <c r="G4" s="9"/>
      <c r="H4" s="10">
        <f aca="true" t="shared" si="0" ref="H4:H11">D4+E4</f>
        <v>0</v>
      </c>
      <c r="I4" s="83">
        <f>825000*0</f>
        <v>0</v>
      </c>
      <c r="J4" s="111" t="s">
        <v>133</v>
      </c>
      <c r="K4" s="81"/>
      <c r="L4" s="22"/>
      <c r="M4" s="9">
        <f>3300*0</f>
        <v>0</v>
      </c>
      <c r="N4" s="9"/>
      <c r="O4" s="9"/>
      <c r="P4" s="10">
        <f aca="true" t="shared" si="1" ref="P4:P12">L4+M4</f>
        <v>0</v>
      </c>
      <c r="Q4" s="112">
        <f>3300000*0</f>
        <v>0</v>
      </c>
    </row>
    <row r="5" spans="1:17" ht="21.75" customHeight="1">
      <c r="A5" s="24" t="s">
        <v>4</v>
      </c>
      <c r="B5" s="8">
        <v>3745</v>
      </c>
      <c r="C5" s="16" t="s">
        <v>154</v>
      </c>
      <c r="D5" s="17"/>
      <c r="E5" s="9"/>
      <c r="F5" s="9"/>
      <c r="G5" s="9"/>
      <c r="H5" s="10">
        <f t="shared" si="0"/>
        <v>0</v>
      </c>
      <c r="I5" s="83">
        <f>436654-90/90*219620+6/6*20002+84/84*-237036+8/8*217034*0+10/10*257094</f>
        <v>257094</v>
      </c>
      <c r="J5" s="157" t="s">
        <v>165</v>
      </c>
      <c r="K5" s="158"/>
      <c r="L5" s="22"/>
      <c r="M5" s="11"/>
      <c r="N5" s="11"/>
      <c r="O5" s="11"/>
      <c r="P5" s="10">
        <f t="shared" si="1"/>
        <v>0</v>
      </c>
      <c r="Q5" s="112"/>
    </row>
    <row r="6" spans="1:17" ht="21.75" customHeight="1">
      <c r="A6" s="7"/>
      <c r="B6" s="8">
        <v>3421</v>
      </c>
      <c r="C6" s="16" t="s">
        <v>6</v>
      </c>
      <c r="D6" s="17"/>
      <c r="E6" s="9">
        <f>65*0+(157.6-102.6)</f>
        <v>55</v>
      </c>
      <c r="F6" s="9"/>
      <c r="G6" s="9"/>
      <c r="H6" s="10">
        <f t="shared" si="0"/>
        <v>55</v>
      </c>
      <c r="I6" s="83">
        <f>8846/8846*(71424-90/90*16499.4)+8887/8887*(90/90*24968.7*0+7/7*(71526.4+90/90*51733.8*0))+3600*3/3*0-96392.7*0</f>
        <v>126451</v>
      </c>
      <c r="J6" s="157" t="s">
        <v>165</v>
      </c>
      <c r="K6" s="158"/>
      <c r="L6" s="22"/>
      <c r="M6" s="11"/>
      <c r="N6" s="11"/>
      <c r="O6" s="11"/>
      <c r="P6" s="10">
        <f t="shared" si="1"/>
        <v>0</v>
      </c>
      <c r="Q6" s="112"/>
    </row>
    <row r="7" spans="1:17" ht="12.75">
      <c r="A7" s="7"/>
      <c r="B7" s="113">
        <f>H7+(H84+H85)+H86+H91+H92+H105+H106+H107-2/2*(8/8*9/9*5932.9)</f>
        <v>55</v>
      </c>
      <c r="C7" s="113">
        <f>I7+(I84+I85)+I86+I91+I92+I105+I106+I107-2/2*(1908046.7*0+7/7*2576340.2*0+8/8*2873731.2*0+9/9*3286231.2*0+10/10*3696106.2)</f>
        <v>0</v>
      </c>
      <c r="D7" s="18">
        <f>SUM(D3:D6)</f>
        <v>0</v>
      </c>
      <c r="E7" s="12">
        <f>SUM(E3:E6)</f>
        <v>55</v>
      </c>
      <c r="F7" s="12"/>
      <c r="G7" s="12"/>
      <c r="H7" s="13">
        <f t="shared" si="0"/>
        <v>55</v>
      </c>
      <c r="I7" s="77">
        <f>SUM(I3:I6)</f>
        <v>383545</v>
      </c>
      <c r="J7" s="114">
        <f>P7+(P84+P85)+P86+P91+P92+P105+P106+P107-2/2*(8/8*5645.1)</f>
        <v>0</v>
      </c>
      <c r="K7" s="84">
        <f>Q7+(Q84+Q85)+Q86+Q91+Q92+Q105+Q106+Q107-2/2*(7/7*4095100*0+8/8*4895100*0+9/9*5195100)</f>
        <v>0</v>
      </c>
      <c r="L7" s="18">
        <f>SUM(L3:L6)</f>
        <v>0</v>
      </c>
      <c r="M7" s="12">
        <f>SUM(M3:M6)</f>
        <v>0</v>
      </c>
      <c r="N7" s="12"/>
      <c r="O7" s="12"/>
      <c r="P7" s="13">
        <f t="shared" si="1"/>
        <v>0</v>
      </c>
      <c r="Q7" s="115">
        <f>SUM(Q3:Q6)</f>
        <v>0</v>
      </c>
    </row>
    <row r="8" spans="1:17" ht="12.75">
      <c r="A8" s="7" t="s">
        <v>60</v>
      </c>
      <c r="B8" s="8">
        <v>2212</v>
      </c>
      <c r="C8" s="16" t="s">
        <v>8</v>
      </c>
      <c r="D8" s="17">
        <v>400</v>
      </c>
      <c r="E8" s="10"/>
      <c r="F8" s="10"/>
      <c r="G8" s="10"/>
      <c r="H8" s="10">
        <f>D8+E8</f>
        <v>400</v>
      </c>
      <c r="I8" s="83">
        <f>32707.51*0+3/3*179046.34*0+4/4*236276.39*0+6/6*245984.69*0+7/7*258540.39*0+8/8*337488.49*0+9/9*339988.49</f>
        <v>339988.49</v>
      </c>
      <c r="J8" s="82"/>
      <c r="K8" s="81"/>
      <c r="L8" s="22"/>
      <c r="M8" s="11"/>
      <c r="N8" s="11"/>
      <c r="O8" s="11"/>
      <c r="P8" s="10">
        <f>L8+M8</f>
        <v>0</v>
      </c>
      <c r="Q8" s="112"/>
    </row>
    <row r="9" spans="1:17" ht="12.75" hidden="1">
      <c r="A9" s="7"/>
      <c r="B9" s="8">
        <v>2212</v>
      </c>
      <c r="C9" s="16" t="s">
        <v>9</v>
      </c>
      <c r="D9" s="17"/>
      <c r="E9" s="10"/>
      <c r="F9" s="10"/>
      <c r="G9" s="10"/>
      <c r="H9" s="10">
        <f t="shared" si="0"/>
        <v>0</v>
      </c>
      <c r="I9" s="83"/>
      <c r="J9" s="111"/>
      <c r="K9" s="81"/>
      <c r="L9" s="22"/>
      <c r="M9" s="11"/>
      <c r="N9" s="11"/>
      <c r="O9" s="11"/>
      <c r="P9" s="10">
        <f t="shared" si="1"/>
        <v>0</v>
      </c>
      <c r="Q9" s="112"/>
    </row>
    <row r="10" spans="1:17" ht="12.75" hidden="1">
      <c r="A10" s="7"/>
      <c r="B10" s="8">
        <v>2212</v>
      </c>
      <c r="C10" s="16" t="s">
        <v>10</v>
      </c>
      <c r="D10" s="17"/>
      <c r="E10" s="10"/>
      <c r="F10" s="10"/>
      <c r="G10" s="10"/>
      <c r="H10" s="10">
        <f t="shared" si="0"/>
        <v>0</v>
      </c>
      <c r="I10" s="83"/>
      <c r="J10" s="111"/>
      <c r="K10" s="81"/>
      <c r="L10" s="22"/>
      <c r="M10" s="11"/>
      <c r="N10" s="11"/>
      <c r="O10" s="11"/>
      <c r="P10" s="10">
        <f t="shared" si="1"/>
        <v>0</v>
      </c>
      <c r="Q10" s="112"/>
    </row>
    <row r="11" spans="1:17" ht="12.75">
      <c r="A11" s="7"/>
      <c r="B11" s="8">
        <v>2219</v>
      </c>
      <c r="C11" s="16" t="s">
        <v>11</v>
      </c>
      <c r="D11" s="17"/>
      <c r="E11" s="9"/>
      <c r="F11" s="9"/>
      <c r="G11" s="9"/>
      <c r="H11" s="10">
        <f t="shared" si="0"/>
        <v>0</v>
      </c>
      <c r="I11" s="83">
        <f>4430*0+5/5*13154.5*0+7/7*10425.41*0+9/9*13455.41</f>
        <v>13455.41</v>
      </c>
      <c r="J11" s="111"/>
      <c r="K11" s="81"/>
      <c r="L11" s="22"/>
      <c r="M11" s="11"/>
      <c r="N11" s="11"/>
      <c r="O11" s="11"/>
      <c r="P11" s="10">
        <f t="shared" si="1"/>
        <v>0</v>
      </c>
      <c r="Q11" s="112"/>
    </row>
    <row r="12" spans="1:17" ht="12.75">
      <c r="A12" s="7"/>
      <c r="B12" s="113">
        <f>H8+H11+H87+H88+H108-3/3*(8/8*3397.6)</f>
        <v>0</v>
      </c>
      <c r="C12" s="113">
        <f>I8+I11+I87+I88+I108-3/3*(249430.89*0+7/7*1124665.8*0+8/8*1203613.9*0+9/9*10/10*1939042.9)</f>
        <v>0</v>
      </c>
      <c r="D12" s="18">
        <f>SUM(D8:D11)</f>
        <v>400</v>
      </c>
      <c r="E12" s="12">
        <f>SUM(E8:E11)</f>
        <v>0</v>
      </c>
      <c r="F12" s="12"/>
      <c r="G12" s="12"/>
      <c r="H12" s="13">
        <f>D12+E12</f>
        <v>400</v>
      </c>
      <c r="I12" s="77">
        <f>SUM(I8:I11)</f>
        <v>353443.89999999997</v>
      </c>
      <c r="J12" s="114">
        <f>P8+P11+P87+P88+P108-3/3*(8/8*2900)</f>
        <v>0</v>
      </c>
      <c r="K12" s="84">
        <f>Q8+Q11+Q87+Q88+Q108-3/3*(7/7*2600000*0+8/8*2900000)</f>
        <v>0</v>
      </c>
      <c r="L12" s="18">
        <f>SUM(L8:L11)</f>
        <v>0</v>
      </c>
      <c r="M12" s="12">
        <f>SUM(M8:M11)</f>
        <v>0</v>
      </c>
      <c r="N12" s="12"/>
      <c r="O12" s="12"/>
      <c r="P12" s="13">
        <f t="shared" si="1"/>
        <v>0</v>
      </c>
      <c r="Q12" s="115">
        <f>SUM(Q8:Q11)</f>
        <v>0</v>
      </c>
    </row>
    <row r="13" spans="1:17" ht="12.75">
      <c r="A13" s="7" t="s">
        <v>2</v>
      </c>
      <c r="B13" s="8">
        <v>3111</v>
      </c>
      <c r="C13" s="16" t="s">
        <v>12</v>
      </c>
      <c r="D13" s="17">
        <v>1380</v>
      </c>
      <c r="E13" s="9">
        <f>6/6*110</f>
        <v>110</v>
      </c>
      <c r="F13" s="9"/>
      <c r="G13" s="9"/>
      <c r="H13" s="10">
        <f>D13+E13</f>
        <v>1490</v>
      </c>
      <c r="I13" s="83">
        <f>4/4*230000*0+8/8*1117500</f>
        <v>1117500</v>
      </c>
      <c r="J13" s="111"/>
      <c r="K13" s="81"/>
      <c r="L13" s="22"/>
      <c r="M13" s="11"/>
      <c r="N13" s="11"/>
      <c r="O13" s="11"/>
      <c r="P13" s="10">
        <f>L13+M13</f>
        <v>0</v>
      </c>
      <c r="Q13" s="112"/>
    </row>
    <row r="14" spans="1:17" ht="12.75">
      <c r="A14" s="116">
        <f>(H13+H15+H17)+70</f>
        <v>4974</v>
      </c>
      <c r="B14" s="117">
        <f>(I13+I15+I17+70000)/1000</f>
        <v>3779.5</v>
      </c>
      <c r="C14" s="16"/>
      <c r="D14" s="17"/>
      <c r="E14" s="9"/>
      <c r="F14" s="9"/>
      <c r="G14" s="9"/>
      <c r="H14" s="10"/>
      <c r="I14" s="83">
        <f>3/3*29274+10/10*738</f>
        <v>30012</v>
      </c>
      <c r="J14" s="111"/>
      <c r="K14" s="81"/>
      <c r="L14" s="22"/>
      <c r="M14" s="11"/>
      <c r="N14" s="11"/>
      <c r="O14" s="11"/>
      <c r="P14" s="10"/>
      <c r="Q14" s="112"/>
    </row>
    <row r="15" spans="1:17" ht="12.75">
      <c r="A15" s="7"/>
      <c r="B15" s="8">
        <v>3113</v>
      </c>
      <c r="C15" s="16" t="s">
        <v>13</v>
      </c>
      <c r="D15" s="17">
        <v>2830</v>
      </c>
      <c r="E15" s="9">
        <f>70*0</f>
        <v>0</v>
      </c>
      <c r="F15" s="9"/>
      <c r="G15" s="9"/>
      <c r="H15" s="10">
        <f aca="true" t="shared" si="2" ref="H15:H21">D15+E15</f>
        <v>2830</v>
      </c>
      <c r="I15" s="83">
        <f>4/4*472000*0+6/6*738000*0+8/8*2154000</f>
        <v>2154000</v>
      </c>
      <c r="J15" s="111" t="s">
        <v>133</v>
      </c>
      <c r="K15" s="81"/>
      <c r="L15" s="22"/>
      <c r="M15" s="9">
        <f>70*0</f>
        <v>0</v>
      </c>
      <c r="N15" s="9"/>
      <c r="O15" s="9"/>
      <c r="P15" s="10">
        <f aca="true" t="shared" si="3" ref="P15:P21">L15+M15</f>
        <v>0</v>
      </c>
      <c r="Q15" s="112">
        <f>3/3*70000*0</f>
        <v>0</v>
      </c>
    </row>
    <row r="16" spans="1:17" ht="12.75">
      <c r="A16" s="7"/>
      <c r="B16" s="8"/>
      <c r="C16" s="113">
        <f>I15+I16+I96+I99*0-3113/3113*(1179283.06*0+7/7*1445524.13*0+8/8*2891386*0+9/9*3152702.67)</f>
        <v>19555.070000000298</v>
      </c>
      <c r="D16" s="17"/>
      <c r="E16" s="9"/>
      <c r="F16" s="9"/>
      <c r="G16" s="9"/>
      <c r="H16" s="10"/>
      <c r="I16" s="83">
        <f>(55594.5+165788.66+193275+2127.72+65405-482190.88*0)*0+3/3*637356.45*0+4/4*935081.74*0+5/5*(1179283.06-5331/5331*472000-81/81*70000)*0+6/6*(1403126.52*0+7/7*1445524.13*0+8/8*2891386*0+9/9*3152702.67*0+10/10*3172257.74-5331/5331*(738000*0+8/8*2154000)-81/81*70000)</f>
        <v>948257.7400000002</v>
      </c>
      <c r="J16" s="118"/>
      <c r="K16" s="84">
        <f>Q15+Q16+Q96+Q99-3113/3113*(7/7*1570000)</f>
        <v>1400000</v>
      </c>
      <c r="L16" s="22"/>
      <c r="M16" s="11"/>
      <c r="N16" s="11"/>
      <c r="O16" s="11"/>
      <c r="P16" s="10"/>
      <c r="Q16" s="112"/>
    </row>
    <row r="17" spans="1:17" ht="12.75">
      <c r="A17" s="7"/>
      <c r="B17" s="8">
        <v>3141</v>
      </c>
      <c r="C17" s="16" t="s">
        <v>14</v>
      </c>
      <c r="D17" s="17">
        <v>964</v>
      </c>
      <c r="E17" s="9">
        <f>6/6*-380</f>
        <v>-380</v>
      </c>
      <c r="F17" s="9"/>
      <c r="G17" s="9"/>
      <c r="H17" s="10">
        <f t="shared" si="2"/>
        <v>584</v>
      </c>
      <c r="I17" s="83">
        <f>4/4*161000*0+8/8*438000</f>
        <v>438000</v>
      </c>
      <c r="J17" s="111"/>
      <c r="K17" s="81"/>
      <c r="L17" s="22"/>
      <c r="M17" s="11"/>
      <c r="N17" s="11"/>
      <c r="O17" s="11"/>
      <c r="P17" s="10">
        <f t="shared" si="3"/>
        <v>0</v>
      </c>
      <c r="Q17" s="112"/>
    </row>
    <row r="18" spans="1:17" ht="12.75">
      <c r="A18" s="7"/>
      <c r="B18" s="8"/>
      <c r="C18" s="16"/>
      <c r="D18" s="17"/>
      <c r="E18" s="9"/>
      <c r="F18" s="9"/>
      <c r="G18" s="9"/>
      <c r="H18" s="10"/>
      <c r="I18" s="83">
        <f>(35895.77+2375.91+5589.16-43860.84*0)*0+3/3*70290.97*0+4/4*218754.46*0+5/5*177963.5*0+6/6*171686.17*0+7/7*181638.23*0+8/8*461081.36*0+9/9*476824.71*0+10/10*472989.41-5331/5331*(161000*0+8/8*438000)</f>
        <v>34989.409999999974</v>
      </c>
      <c r="J18" s="118"/>
      <c r="K18" s="81"/>
      <c r="L18" s="22"/>
      <c r="M18" s="11"/>
      <c r="N18" s="11"/>
      <c r="O18" s="11"/>
      <c r="P18" s="10"/>
      <c r="Q18" s="112"/>
    </row>
    <row r="19" spans="1:17" ht="12.75">
      <c r="A19" s="7"/>
      <c r="B19" s="8">
        <v>3121</v>
      </c>
      <c r="C19" s="16" t="s">
        <v>52</v>
      </c>
      <c r="D19" s="17"/>
      <c r="E19" s="9"/>
      <c r="F19" s="9"/>
      <c r="G19" s="9"/>
      <c r="H19" s="10"/>
      <c r="I19" s="83">
        <f>(59919.34+7336.95-67256.29*0)*0+3/3*105172.4*0+4/4*78620.18*0+5/5*46538.2*0+6/6*28313.22*0+7/7*37525.15*0+8/8*31087.68*0+9/9*59297.07*0+10/10*66494.16</f>
        <v>66494.16</v>
      </c>
      <c r="J19" s="118"/>
      <c r="K19" s="81"/>
      <c r="L19" s="22"/>
      <c r="M19" s="11"/>
      <c r="N19" s="11"/>
      <c r="O19" s="11"/>
      <c r="P19" s="10"/>
      <c r="Q19" s="112"/>
    </row>
    <row r="20" spans="1:17" ht="12.75">
      <c r="A20" s="7"/>
      <c r="B20" s="8">
        <v>3231</v>
      </c>
      <c r="C20" s="16" t="s">
        <v>15</v>
      </c>
      <c r="D20" s="17"/>
      <c r="E20" s="9"/>
      <c r="F20" s="9"/>
      <c r="G20" s="9"/>
      <c r="H20" s="10">
        <f t="shared" si="2"/>
        <v>0</v>
      </c>
      <c r="I20" s="83">
        <f>1221.64*0+3/3*596.17*0+4/4*0+6/6*596.16*0+8/8*1788.49*0+9/9*2384.65*0+10/10*-5.4</f>
        <v>-5.4</v>
      </c>
      <c r="J20" s="118"/>
      <c r="K20" s="81"/>
      <c r="L20" s="22"/>
      <c r="M20" s="11"/>
      <c r="N20" s="11"/>
      <c r="O20" s="11"/>
      <c r="P20" s="10">
        <f t="shared" si="3"/>
        <v>0</v>
      </c>
      <c r="Q20" s="112"/>
    </row>
    <row r="21" spans="1:17" ht="12.75">
      <c r="A21" s="7"/>
      <c r="B21" s="113">
        <f>H21+(H96+H99+H100)-4/4*(8/8*10874)</f>
        <v>0</v>
      </c>
      <c r="C21" s="113">
        <f>I21+(I96+I99+I100)-4/4*(1663058.76*0+7/7*1954557.67*0+8/8*4573617.53*0+9/9*6968760.1*0+10/10*7020524.91)</f>
        <v>0</v>
      </c>
      <c r="D21" s="18">
        <f>SUM(D13:D20)</f>
        <v>5174</v>
      </c>
      <c r="E21" s="12">
        <f>SUM(E13:E20)</f>
        <v>-270</v>
      </c>
      <c r="F21" s="12"/>
      <c r="G21" s="12"/>
      <c r="H21" s="13">
        <f t="shared" si="2"/>
        <v>4904</v>
      </c>
      <c r="I21" s="77">
        <f>SUM(I13:I20)</f>
        <v>4789247.91</v>
      </c>
      <c r="J21" s="114">
        <f>P21+(P96+P99+P100)-4/4*(8/8*5970)</f>
        <v>0</v>
      </c>
      <c r="K21" s="84">
        <f>Q21+(Q96+Q99+Q100)-4/4*(7/7*3570000*0+8/8*5970000)</f>
        <v>0</v>
      </c>
      <c r="L21" s="18">
        <f>SUM(L13:L20)</f>
        <v>0</v>
      </c>
      <c r="M21" s="12">
        <f>SUM(M13:M20)</f>
        <v>0</v>
      </c>
      <c r="N21" s="12"/>
      <c r="O21" s="12"/>
      <c r="P21" s="13">
        <f t="shared" si="3"/>
        <v>0</v>
      </c>
      <c r="Q21" s="115">
        <f>SUM(Q13:Q20)</f>
        <v>0</v>
      </c>
    </row>
    <row r="22" spans="1:17" ht="12.75" hidden="1">
      <c r="A22" s="7" t="s">
        <v>0</v>
      </c>
      <c r="B22" s="6">
        <v>3513</v>
      </c>
      <c r="C22" s="16" t="s">
        <v>16</v>
      </c>
      <c r="D22" s="17"/>
      <c r="E22" s="9"/>
      <c r="F22" s="9"/>
      <c r="G22" s="9"/>
      <c r="H22" s="10">
        <f>D22+E22</f>
        <v>0</v>
      </c>
      <c r="I22" s="83">
        <f>9/9*238*0</f>
        <v>0</v>
      </c>
      <c r="J22" s="111"/>
      <c r="K22" s="81"/>
      <c r="L22" s="22"/>
      <c r="M22" s="11"/>
      <c r="N22" s="11"/>
      <c r="O22" s="11"/>
      <c r="P22" s="10">
        <f>L22+M22</f>
        <v>0</v>
      </c>
      <c r="Q22" s="112"/>
    </row>
    <row r="23" spans="1:17" ht="12.75">
      <c r="A23" s="7" t="s">
        <v>0</v>
      </c>
      <c r="B23" s="6">
        <v>3541</v>
      </c>
      <c r="C23" s="16" t="s">
        <v>17</v>
      </c>
      <c r="D23" s="17"/>
      <c r="E23" s="9">
        <f>70*0</f>
        <v>0</v>
      </c>
      <c r="F23" s="9"/>
      <c r="G23" s="9"/>
      <c r="H23" s="10">
        <f aca="true" t="shared" si="4" ref="H23:H36">D23+E23</f>
        <v>0</v>
      </c>
      <c r="I23" s="85">
        <f>2000*0+3/3*2550*0+5/5*8650*0</f>
        <v>0</v>
      </c>
      <c r="J23" s="82"/>
      <c r="K23" s="20" t="s">
        <v>80</v>
      </c>
      <c r="L23" s="22"/>
      <c r="M23" s="9">
        <f>70*0</f>
        <v>0</v>
      </c>
      <c r="N23" s="9"/>
      <c r="O23" s="9"/>
      <c r="P23" s="10">
        <f aca="true" t="shared" si="5" ref="P23:P36">L23+M23</f>
        <v>0</v>
      </c>
      <c r="Q23" s="112">
        <f>3/3*70000*0</f>
        <v>0</v>
      </c>
    </row>
    <row r="24" spans="1:17" ht="12.75">
      <c r="A24" s="7"/>
      <c r="B24" s="14" t="s">
        <v>18</v>
      </c>
      <c r="C24" s="16" t="s">
        <v>19</v>
      </c>
      <c r="D24" s="17"/>
      <c r="E24" s="9">
        <f>11983.5*0</f>
        <v>0</v>
      </c>
      <c r="F24" s="9"/>
      <c r="G24" s="9"/>
      <c r="H24" s="10">
        <f t="shared" si="4"/>
        <v>0</v>
      </c>
      <c r="I24" s="83">
        <f>71/71*(2/2)*(20931*0+33464*0+3/3*80850)+73/73*(10000*0+2/2*(46220*0+47860)*0+3/3*67006)+79/79*(52057*0+2/2*(87937*0+93927)*0+3/3*129773)+81/81*(2/2*-1500*0+3/3*0)+82/82*(7160*0+2/2*150120*0+3/3*158971)+3/3*(600*0+2/2*1200*0+3/3*1800)+4/4*(50000*0+2/2*145000*0+3/3*145000)+5/5*(660398*0+2/2*1130529*0+3/3*1645867)+6/6*(6500*0+2/2*32500*0+3/3*71500)-1/1*786715*0-2/2*1633100*0-3/3*2300767</f>
        <v>0</v>
      </c>
      <c r="J24" s="82" t="s">
        <v>134</v>
      </c>
      <c r="K24" s="20" t="s">
        <v>48</v>
      </c>
      <c r="L24" s="22"/>
      <c r="M24" s="9">
        <f>11983.5*0</f>
        <v>0</v>
      </c>
      <c r="N24" s="9"/>
      <c r="O24" s="9"/>
      <c r="P24" s="10">
        <f t="shared" si="5"/>
        <v>0</v>
      </c>
      <c r="Q24" s="112">
        <f>3640000*0+4/4*(9507+5000+5725+3400)*0+5/5*(1000-5725+5725)*0+6/6*(3000+1000-5725+6219)*0+7/7*(1000-5725+5725)*0+8/8*(3000+1000-5725+6104)*0+9/9*(4179/4179*0+4181/4181*1000+4182/4182*-5725+4185/4185*8225-3500)+10/10*(81/81*1000+82/82*-5725+85/85*5725)</f>
        <v>1000</v>
      </c>
    </row>
    <row r="25" spans="1:17" ht="12.75">
      <c r="A25" s="7"/>
      <c r="B25" s="14" t="s">
        <v>18</v>
      </c>
      <c r="C25" s="16" t="s">
        <v>1</v>
      </c>
      <c r="D25" s="17"/>
      <c r="E25" s="9">
        <f>7075*0</f>
        <v>0</v>
      </c>
      <c r="F25" s="9"/>
      <c r="G25" s="9"/>
      <c r="H25" s="10">
        <f t="shared" si="4"/>
        <v>0</v>
      </c>
      <c r="I25" s="83">
        <f>2/2*1950000*0+3/3*3125000*0</f>
        <v>0</v>
      </c>
      <c r="J25" s="82" t="s">
        <v>134</v>
      </c>
      <c r="K25" s="20" t="s">
        <v>49</v>
      </c>
      <c r="L25" s="22"/>
      <c r="M25" s="9">
        <f>7075*0</f>
        <v>0</v>
      </c>
      <c r="N25" s="9"/>
      <c r="O25" s="9"/>
      <c r="P25" s="10">
        <f t="shared" si="5"/>
        <v>0</v>
      </c>
      <c r="Q25" s="112">
        <f>2011320+3/3*1093000-3104320</f>
        <v>0</v>
      </c>
    </row>
    <row r="26" spans="1:17" ht="12.75">
      <c r="A26" s="7"/>
      <c r="B26" s="61" t="s">
        <v>151</v>
      </c>
      <c r="C26" s="16" t="s">
        <v>20</v>
      </c>
      <c r="D26" s="17"/>
      <c r="E26" s="9"/>
      <c r="F26" s="9"/>
      <c r="G26" s="9"/>
      <c r="H26" s="10">
        <f t="shared" si="4"/>
        <v>0</v>
      </c>
      <c r="I26" s="83">
        <f>7/7*(109166.94-5163/5163*33024)*0+8/8*(116300.74*0+9/9*117099.05*0+115356.65-5163/5163*(37613*0+10/10*35076))</f>
        <v>80280.65</v>
      </c>
      <c r="J26" s="111"/>
      <c r="K26" s="20" t="s">
        <v>76</v>
      </c>
      <c r="L26" s="22"/>
      <c r="M26" s="11"/>
      <c r="N26" s="11"/>
      <c r="O26" s="11"/>
      <c r="P26" s="10">
        <f t="shared" si="5"/>
        <v>0</v>
      </c>
      <c r="Q26" s="112"/>
    </row>
    <row r="27" spans="1:17" ht="12.75">
      <c r="A27" s="7"/>
      <c r="B27" s="61" t="s">
        <v>166</v>
      </c>
      <c r="C27" s="16" t="s">
        <v>21</v>
      </c>
      <c r="D27" s="17">
        <v>235</v>
      </c>
      <c r="E27" s="9">
        <v>-135</v>
      </c>
      <c r="F27" s="9"/>
      <c r="G27" s="9"/>
      <c r="H27" s="10">
        <f t="shared" si="4"/>
        <v>100</v>
      </c>
      <c r="I27" s="83">
        <f>4883*0+5/5*9836.5*0+6/6*169375.5*0+9/9*174714</f>
        <v>174714</v>
      </c>
      <c r="J27" s="82"/>
      <c r="K27" s="20" t="s">
        <v>77</v>
      </c>
      <c r="L27" s="22"/>
      <c r="M27" s="11"/>
      <c r="N27" s="11"/>
      <c r="O27" s="11"/>
      <c r="P27" s="10">
        <f t="shared" si="5"/>
        <v>0</v>
      </c>
      <c r="Q27" s="112"/>
    </row>
    <row r="28" spans="1:17" ht="12.75">
      <c r="A28" s="7"/>
      <c r="B28" s="61" t="s">
        <v>167</v>
      </c>
      <c r="C28" s="16" t="s">
        <v>22</v>
      </c>
      <c r="D28" s="17">
        <v>2030</v>
      </c>
      <c r="E28" s="9">
        <f>4375/4375*-(215-155)+60*0</f>
        <v>-60</v>
      </c>
      <c r="F28" s="9"/>
      <c r="G28" s="9"/>
      <c r="H28" s="10">
        <f t="shared" si="4"/>
        <v>1970</v>
      </c>
      <c r="I28" s="83">
        <f>(268812.31*0+273713.81*0+3/3*(410784.01+5801/5801*-1935)*0+4/4*(576266.36+5801/5801*-11608)*0+5/5*773478.6*0+6/6*918345.09*0+7/7*1050045.56*0+8/8*1151674.52*0+9/9*1318732.08*0+10/10*1508877.92+58013/58013*(-28248*0+7/7*-41632*0+8/8*-50560*0+9/9*-59488*0+10/10*-68128))-5518*(3/3)*0</f>
        <v>1440749.92</v>
      </c>
      <c r="J28" s="82"/>
      <c r="K28" s="20" t="s">
        <v>78</v>
      </c>
      <c r="L28" s="22">
        <v>1134</v>
      </c>
      <c r="M28" s="11"/>
      <c r="N28" s="11"/>
      <c r="O28" s="11"/>
      <c r="P28" s="10">
        <f t="shared" si="5"/>
        <v>1134</v>
      </c>
      <c r="Q28" s="112">
        <f>202540*0+3/3*376380*0+4/4*472770*0+5/5*519610*0+6/6*645090*0+7/7*689450*0+8/8*843170*0+9/9*877770*0+10/10*1002050</f>
        <v>1002050</v>
      </c>
    </row>
    <row r="29" spans="1:17" ht="12.75">
      <c r="A29" s="7"/>
      <c r="B29" s="61" t="s">
        <v>150</v>
      </c>
      <c r="C29" s="16" t="s">
        <v>23</v>
      </c>
      <c r="D29" s="17">
        <v>1320</v>
      </c>
      <c r="E29" s="9"/>
      <c r="F29" s="9"/>
      <c r="G29" s="9"/>
      <c r="H29" s="10">
        <f t="shared" si="4"/>
        <v>1320</v>
      </c>
      <c r="I29" s="83">
        <f>(173292.88*0+174282.88*0+3/3*(334821.18+5801/5801*-5696)*0+4/4*(513181.1+5801/5801*-6936)*0+5/5*660734.6*0+6/6*826732.01*0+7/7*955415.21*0+8/8*1103552.7*0+9/9*1259538.2*0+10/10*1439021.35)+1/1*((1912.69*0+3/3*2817.99*0+4/4*3786.23*0+5/5*(4627.94*0+5801/5801*-11058*0)+10/10*35076)+28607*0+4/4*30937*0)+6/6*(107079.94+5801/5801*-11439)*0+7/7*(33024*0+8/8*37613*0+5801/5801*(-14939*0+10/10*-16032))+(7/7)*127*0+43512/43512*(4/4*11340*0+5/5*15120*0+6/6*18900*0+7/7*22680*0+8/8*26460*0+9/9*30240*0+10/10*34020)+4/4*(9/9)*11209*0</f>
        <v>1492085.35</v>
      </c>
      <c r="J29" s="82"/>
      <c r="K29" s="20" t="s">
        <v>79</v>
      </c>
      <c r="L29" s="22">
        <v>289</v>
      </c>
      <c r="M29" s="11"/>
      <c r="N29" s="11"/>
      <c r="O29" s="11"/>
      <c r="P29" s="10">
        <f t="shared" si="5"/>
        <v>289</v>
      </c>
      <c r="Q29" s="112">
        <f>60987*0+3/3*91427*0+4/4*33900.5*0+5/5*163664.5*0+6/6*197801.5*0+7/7*232929*0+8/8*263737*0+9/9*299194*0+10/10*333243</f>
        <v>333243</v>
      </c>
    </row>
    <row r="30" spans="1:17" ht="12.75">
      <c r="A30" s="67">
        <f>I30+I34</f>
        <v>147542</v>
      </c>
      <c r="B30" s="6">
        <v>4319</v>
      </c>
      <c r="C30" s="16" t="s">
        <v>24</v>
      </c>
      <c r="D30" s="17"/>
      <c r="E30" s="9"/>
      <c r="F30" s="9"/>
      <c r="G30" s="9"/>
      <c r="H30" s="10">
        <f t="shared" si="4"/>
        <v>0</v>
      </c>
      <c r="I30" s="83">
        <f>37594*0+3/3*42340*0+4/4*45868*0+5/5*49324*0+6/6*52642*0+7/7*56140*0+8/8*59732*0+9/9*63280*0+10/10*66788</f>
        <v>66788</v>
      </c>
      <c r="J30" s="82"/>
      <c r="K30" s="62" t="s">
        <v>94</v>
      </c>
      <c r="L30" s="22"/>
      <c r="M30" s="11"/>
      <c r="N30" s="11"/>
      <c r="O30" s="11"/>
      <c r="P30" s="10">
        <f t="shared" si="5"/>
        <v>0</v>
      </c>
      <c r="Q30" s="112"/>
    </row>
    <row r="31" spans="1:17" ht="12.75">
      <c r="A31" s="7" t="s">
        <v>140</v>
      </c>
      <c r="B31" s="119" t="s">
        <v>157</v>
      </c>
      <c r="C31" s="120" t="s">
        <v>147</v>
      </c>
      <c r="D31" s="17">
        <v>215</v>
      </c>
      <c r="E31" s="9">
        <f>265*0-215</f>
        <v>-215</v>
      </c>
      <c r="F31" s="9"/>
      <c r="G31" s="9"/>
      <c r="H31" s="10">
        <f t="shared" si="4"/>
        <v>0</v>
      </c>
      <c r="I31" s="83">
        <f>0+3/3*56*0+4/4*817.5*0+5/5*1115.5*0+4329/4329*760.5*0+7/7*48115.5*0+8/8*28579.5</f>
        <v>28579.5</v>
      </c>
      <c r="J31" s="82"/>
      <c r="K31" s="81"/>
      <c r="L31" s="22"/>
      <c r="M31" s="11"/>
      <c r="N31" s="11"/>
      <c r="O31" s="11"/>
      <c r="P31" s="10">
        <f t="shared" si="5"/>
        <v>0</v>
      </c>
      <c r="Q31" s="112"/>
    </row>
    <row r="32" spans="1:17" ht="12.75">
      <c r="A32" s="7"/>
      <c r="B32" s="61" t="s">
        <v>132</v>
      </c>
      <c r="C32" s="16" t="s">
        <v>53</v>
      </c>
      <c r="D32" s="17"/>
      <c r="E32" s="9">
        <f>265-215*0</f>
        <v>265</v>
      </c>
      <c r="F32" s="9"/>
      <c r="G32" s="9"/>
      <c r="H32" s="10">
        <f t="shared" si="4"/>
        <v>265</v>
      </c>
      <c r="I32" s="83">
        <f>4375/4375*((22206+3/3*14488-36694*0)*0+4/4*52994*0+5/5*68024*0+6/6*(84137.5*0+7/7*96125.5*0+8/8*(110948.5-81/81*1055.5)*0+9/9*(128145.5-81/81*3258.5)*0+10/10*(197441.5-81/81*7719.5-98064/98064*49000)+5801/5801*-842))+4379/4379*((10650+3/3*1144-11794*0)*0+4/4*34984*0)-(2/2)*32856*0+1/1*9/9*600</f>
        <v>140480</v>
      </c>
      <c r="J32" s="111"/>
      <c r="K32" s="20" t="s">
        <v>75</v>
      </c>
      <c r="L32" s="22"/>
      <c r="M32" s="11"/>
      <c r="N32" s="11"/>
      <c r="O32" s="11"/>
      <c r="P32" s="10">
        <f t="shared" si="5"/>
        <v>0</v>
      </c>
      <c r="Q32" s="112"/>
    </row>
    <row r="33" spans="1:17" ht="12.75">
      <c r="A33" s="7"/>
      <c r="B33" s="6"/>
      <c r="C33" s="16" t="s">
        <v>168</v>
      </c>
      <c r="D33" s="17"/>
      <c r="E33" s="9"/>
      <c r="F33" s="9"/>
      <c r="G33" s="9"/>
      <c r="H33" s="10">
        <f t="shared" si="4"/>
        <v>0</v>
      </c>
      <c r="I33" s="83">
        <f>23833.5*0+25261.5*0+3/3*56011.6</f>
        <v>56011.6</v>
      </c>
      <c r="J33" s="121" t="s">
        <v>106</v>
      </c>
      <c r="K33" s="20"/>
      <c r="L33" s="22"/>
      <c r="M33" s="11"/>
      <c r="N33" s="11"/>
      <c r="O33" s="11"/>
      <c r="P33" s="10">
        <f t="shared" si="5"/>
        <v>0</v>
      </c>
      <c r="Q33" s="112"/>
    </row>
    <row r="34" spans="1:17" ht="12.75">
      <c r="A34" s="7" t="s">
        <v>94</v>
      </c>
      <c r="B34" s="6">
        <v>4379</v>
      </c>
      <c r="C34" s="16" t="s">
        <v>148</v>
      </c>
      <c r="D34" s="17"/>
      <c r="E34" s="9">
        <f>5/5*44</f>
        <v>44</v>
      </c>
      <c r="F34" s="9"/>
      <c r="G34" s="9"/>
      <c r="H34" s="10">
        <f t="shared" si="4"/>
        <v>44</v>
      </c>
      <c r="I34" s="83">
        <f>5/5*51414*0+6/6*69894*0+7/7*90584*0+8/8*53114*0+9/9*47194*0+10/10*80754</f>
        <v>80754</v>
      </c>
      <c r="J34" s="122"/>
      <c r="K34" s="20"/>
      <c r="L34" s="22"/>
      <c r="M34" s="11"/>
      <c r="N34" s="11"/>
      <c r="O34" s="11"/>
      <c r="P34" s="10"/>
      <c r="Q34" s="112"/>
    </row>
    <row r="35" spans="1:17" ht="12.75">
      <c r="A35" s="63"/>
      <c r="B35" s="61" t="s">
        <v>136</v>
      </c>
      <c r="C35" s="16" t="s">
        <v>25</v>
      </c>
      <c r="D35" s="17">
        <v>930</v>
      </c>
      <c r="E35" s="9">
        <f>4375/4375*-155</f>
        <v>-155</v>
      </c>
      <c r="F35" s="9"/>
      <c r="G35" s="9"/>
      <c r="H35" s="10">
        <f t="shared" si="4"/>
        <v>775</v>
      </c>
      <c r="I35" s="83">
        <f>121103.05*0+3/3*224087.39*0+4/4*334324.88*0+5/5*426412.08*0+6/6*514115.7*0+7/7*640514.7*0+8/8*685580.56*0+9/9*715186.56+5801/5801*(-3589*0+6/6*-12135)+1/1*(730*0+4/4*1495*0+7/7*2169*0+10/10*2354)</f>
        <v>705405.56</v>
      </c>
      <c r="J35" s="82"/>
      <c r="K35" s="20" t="s">
        <v>74</v>
      </c>
      <c r="L35" s="22">
        <v>201</v>
      </c>
      <c r="M35" s="11">
        <f>-125+125</f>
        <v>0</v>
      </c>
      <c r="N35" s="11"/>
      <c r="O35" s="11"/>
      <c r="P35" s="10">
        <f t="shared" si="5"/>
        <v>201</v>
      </c>
      <c r="Q35" s="112">
        <f>3831*0+3/3*7486*0+4/4*13179*0+8600*0+3/3*21600*0+4/4*32400*0+5/5*(17903+43200)*0+6/6*(30893+52800)*0+7/7*(35984+(52800*0+9/9*54398))</f>
        <v>90382</v>
      </c>
    </row>
    <row r="36" spans="1:17" ht="12.75">
      <c r="A36" s="63"/>
      <c r="B36" s="113"/>
      <c r="C36" s="113">
        <f>I36+I93+I94+I95+I101+I111+I112-14782217.51*0+8/8*-16803312.62*0+9/9*-(18634763.49-6171/6171*-2460)*0+10/10*-(20581684.08-6171/6171*20)</f>
        <v>0</v>
      </c>
      <c r="D36" s="18">
        <f>SUM(D22:D35)</f>
        <v>4730</v>
      </c>
      <c r="E36" s="12">
        <f>SUM(E22:E35)</f>
        <v>-256</v>
      </c>
      <c r="F36" s="12"/>
      <c r="G36" s="12"/>
      <c r="H36" s="13">
        <f t="shared" si="4"/>
        <v>4474</v>
      </c>
      <c r="I36" s="77">
        <f>SUM(I22:I35)</f>
        <v>4265848.58</v>
      </c>
      <c r="J36" s="114">
        <f>P36+P93+P94+P95+P101+P111+P112-(8/8*25139.5*0+9/9*29709.5*0+10/10*29837.5)</f>
        <v>-6343.5</v>
      </c>
      <c r="K36" s="84">
        <f>Q36+Q93+Q94+Q95+Q101+Q111+Q112-(7/7*14024163*0+8/8*15955070*0+9/9*17585846*0+10/10*19650675)</f>
        <v>0</v>
      </c>
      <c r="L36" s="18">
        <f>SUM(L22:L35)</f>
        <v>1624</v>
      </c>
      <c r="M36" s="12">
        <f>SUM(M22:M35)</f>
        <v>0</v>
      </c>
      <c r="N36" s="12"/>
      <c r="O36" s="12"/>
      <c r="P36" s="13">
        <f t="shared" si="5"/>
        <v>1624</v>
      </c>
      <c r="Q36" s="115">
        <f>SUM(Q22:Q35)</f>
        <v>1426675</v>
      </c>
    </row>
    <row r="37" spans="1:17" ht="12.75">
      <c r="A37" s="7" t="s">
        <v>27</v>
      </c>
      <c r="B37" s="8">
        <v>3313</v>
      </c>
      <c r="C37" s="16" t="s">
        <v>28</v>
      </c>
      <c r="D37" s="17">
        <v>683</v>
      </c>
      <c r="E37" s="9">
        <f>(-147-38-13+198)-(198-24)-6.5*0-6112/6112*(20+4)</f>
        <v>-198</v>
      </c>
      <c r="F37" s="10"/>
      <c r="G37" s="10"/>
      <c r="H37" s="10">
        <f aca="true" t="shared" si="6" ref="H37:H47">D37+E37</f>
        <v>485</v>
      </c>
      <c r="I37" s="83">
        <f>(107113+607)*0+3/3*(178438+607)*0+4/4*258679*0+6/6*393328*0+7/7*438149*0+8/8*493098*0+9/9*556816.5*0+10/10*624122.5+1/1*(1190*0+7/7*1697*0+10/10*2242)</f>
        <v>626364.5</v>
      </c>
      <c r="J37" s="82"/>
      <c r="K37" s="81"/>
      <c r="L37" s="22"/>
      <c r="M37" s="11"/>
      <c r="N37" s="11"/>
      <c r="O37" s="11"/>
      <c r="P37" s="10">
        <f aca="true" t="shared" si="7" ref="P37:P47">L37+M37</f>
        <v>0</v>
      </c>
      <c r="Q37" s="112">
        <f>1146*0+3/3*3018*0+4/4*495*0+5/5*1788*0+6/6*2681*0+7/7*251*0+9/9*44214*0+10/10*637</f>
        <v>637</v>
      </c>
    </row>
    <row r="38" spans="1:17" ht="12.75">
      <c r="A38" s="7"/>
      <c r="B38" s="8">
        <v>3314</v>
      </c>
      <c r="C38" s="16" t="s">
        <v>29</v>
      </c>
      <c r="D38" s="17">
        <v>1082</v>
      </c>
      <c r="E38" s="9">
        <f>403+105+36+121+10</f>
        <v>675</v>
      </c>
      <c r="F38" s="10"/>
      <c r="G38" s="10"/>
      <c r="H38" s="10">
        <f t="shared" si="6"/>
        <v>1757</v>
      </c>
      <c r="I38" s="83">
        <f>(176627.15+1300-12575)*0+3/3*(354683.9+1300-25567)*0+4/4*526877.98*0+6/6*(828324.26*0+7/7*949039.99*0+8/8*1078329.43*0+9/9*1244845.37*0+10/10*1376954.42+1/1*(2382*0+7/7*3410*0+10/10*4328)+5801/5801*(-37631*0+6/6*-40476)-81/81*39800)</f>
        <v>1301006.42</v>
      </c>
      <c r="J38" s="75">
        <f>1793.8-39.8+3-H38</f>
        <v>0</v>
      </c>
      <c r="K38" s="81"/>
      <c r="L38" s="22">
        <v>107</v>
      </c>
      <c r="M38" s="11"/>
      <c r="N38" s="11"/>
      <c r="O38" s="11"/>
      <c r="P38" s="10">
        <f t="shared" si="7"/>
        <v>107</v>
      </c>
      <c r="Q38" s="112">
        <f>10385*0+3/3*17686*0+4/4*23417.5*0+5/5*28125.5*0+6/6*35540*0+7/7*38629.5*0+8/8*42247*0+10/10*48675</f>
        <v>48675</v>
      </c>
    </row>
    <row r="39" spans="1:17" ht="12.75">
      <c r="A39" s="7"/>
      <c r="B39" s="8">
        <v>3314</v>
      </c>
      <c r="C39" s="16" t="s">
        <v>152</v>
      </c>
      <c r="D39" s="17"/>
      <c r="E39" s="9"/>
      <c r="F39" s="10"/>
      <c r="G39" s="10"/>
      <c r="H39" s="10">
        <f t="shared" si="6"/>
        <v>0</v>
      </c>
      <c r="I39" s="83">
        <f>0+7/7*1000*0+8/8*2000*0+9/9*3000*0+10/10*4000</f>
        <v>4000</v>
      </c>
      <c r="J39" s="82"/>
      <c r="K39" s="81"/>
      <c r="L39" s="22"/>
      <c r="M39" s="11"/>
      <c r="N39" s="11"/>
      <c r="O39" s="11"/>
      <c r="P39" s="10"/>
      <c r="Q39" s="112"/>
    </row>
    <row r="40" spans="1:17" ht="12.75">
      <c r="A40" s="123" t="s">
        <v>159</v>
      </c>
      <c r="B40" s="8">
        <v>3319</v>
      </c>
      <c r="C40" s="16" t="s">
        <v>30</v>
      </c>
      <c r="D40" s="17">
        <v>608</v>
      </c>
      <c r="E40" s="9">
        <f>55-34+6+2+1</f>
        <v>30</v>
      </c>
      <c r="F40" s="10"/>
      <c r="G40" s="10"/>
      <c r="H40" s="10">
        <f t="shared" si="6"/>
        <v>638</v>
      </c>
      <c r="I40" s="83">
        <f>(93059.04+334)*0+3/3*(153372.04+334)*0+4/4*208792.54*0+6/6*(323891.22*0+7/7*356039.22*0+8/8*392051.22*0+9/9*436564.29*0+10/10*553410.79+1/1*(707*0+7/7*1047*0+10/10*1330))+5801/5801*9/9*-9631+13102007/13102007*8000</f>
        <v>553109.79</v>
      </c>
      <c r="J40" s="82"/>
      <c r="K40" s="81"/>
      <c r="L40" s="22">
        <v>155</v>
      </c>
      <c r="M40" s="11"/>
      <c r="N40" s="11"/>
      <c r="O40" s="11"/>
      <c r="P40" s="10">
        <f t="shared" si="7"/>
        <v>155</v>
      </c>
      <c r="Q40" s="112">
        <f>9248*0+3/3*8748*0+4/4*18338*0+5/5*36558*0+6/6*46978*0+8/8*9508*0+9/9*12508*0+10/10*101108</f>
        <v>101108</v>
      </c>
    </row>
    <row r="41" spans="1:17" ht="12.75">
      <c r="A41" s="123" t="s">
        <v>161</v>
      </c>
      <c r="B41" s="8">
        <v>3412</v>
      </c>
      <c r="C41" s="16" t="s">
        <v>31</v>
      </c>
      <c r="D41" s="17"/>
      <c r="E41" s="9">
        <f>5/5*(27.8+17.1+112.7-157.6)+(157.6-2/2*55)</f>
        <v>102.60000000000002</v>
      </c>
      <c r="F41" s="9"/>
      <c r="G41" s="9"/>
      <c r="H41" s="10">
        <f t="shared" si="6"/>
        <v>102.60000000000002</v>
      </c>
      <c r="I41" s="83">
        <f>(107100+355872.2)*0+3/3*(13400+8233/8233*(178500+8290/8290*355072.2))*0+4/4*(32170.8*0+8829/8829*112699.6)+6/6*(64777.4*0+10/10*67450.4+1/1*11682+153/153*219)+8233/8233*(9/9)*10/10*2200</f>
        <v>194251</v>
      </c>
      <c r="J41" s="75">
        <f>45+112.6-H41</f>
        <v>54.99999999999997</v>
      </c>
      <c r="K41" s="81"/>
      <c r="L41" s="22"/>
      <c r="M41" s="11"/>
      <c r="N41" s="11"/>
      <c r="O41" s="11"/>
      <c r="P41" s="10">
        <f t="shared" si="7"/>
        <v>0</v>
      </c>
      <c r="Q41" s="112"/>
    </row>
    <row r="42" spans="1:17" ht="12.75">
      <c r="A42" s="7"/>
      <c r="B42" s="113">
        <f>H42+H89+H102+H103+H104-(6/6)*(8/8*9469.8)</f>
        <v>-55</v>
      </c>
      <c r="C42" s="113">
        <f>I42+I89+I102+I103+I104-(6/6)*(7/7*3504206.81*0+8/8*3725457.25*0+9/9*3991573.76*0+10/10*4321254.31+(9/9)*2200)</f>
        <v>0</v>
      </c>
      <c r="D42" s="18">
        <f>SUM(D37:D41)</f>
        <v>2373</v>
      </c>
      <c r="E42" s="12">
        <f>SUM(E37:E41)</f>
        <v>609.6</v>
      </c>
      <c r="F42" s="12"/>
      <c r="G42" s="12"/>
      <c r="H42" s="13">
        <f t="shared" si="6"/>
        <v>2982.6</v>
      </c>
      <c r="I42" s="77">
        <f>SUM(I37:I41)</f>
        <v>2678731.71</v>
      </c>
      <c r="J42" s="114">
        <f>P42+P77+P89+P102+P103+P104-(6/6)*(8/8*6451.8)</f>
        <v>0</v>
      </c>
      <c r="K42" s="84">
        <f>Q42+Q77+Q89+Q102+Q103+Q104-(6/6)*(7/7*1234548.22*0+8/8*1200695.72*0+9/9*1247658.72*0+10/10*1299109.72)</f>
        <v>0</v>
      </c>
      <c r="L42" s="18">
        <f>SUM(L37:L41)</f>
        <v>262</v>
      </c>
      <c r="M42" s="12">
        <f>SUM(M37:M41)</f>
        <v>0</v>
      </c>
      <c r="N42" s="12"/>
      <c r="O42" s="12"/>
      <c r="P42" s="13">
        <f t="shared" si="7"/>
        <v>262</v>
      </c>
      <c r="Q42" s="115">
        <f>SUM(Q37:Q41)</f>
        <v>150420</v>
      </c>
    </row>
    <row r="43" spans="1:17" ht="12.75">
      <c r="A43" s="7" t="s">
        <v>32</v>
      </c>
      <c r="B43" s="8">
        <v>5512</v>
      </c>
      <c r="C43" s="16" t="s">
        <v>33</v>
      </c>
      <c r="D43" s="17">
        <v>95</v>
      </c>
      <c r="E43" s="10"/>
      <c r="F43" s="10"/>
      <c r="G43" s="10"/>
      <c r="H43" s="10">
        <f t="shared" si="6"/>
        <v>95</v>
      </c>
      <c r="I43" s="83">
        <f>(42533.18*0+44479.18*0+3/3*55995.18*0+4/4*218002.18*0+6/6*265416.48*0+7/7*(286636.98-81/81*182126.5)*0+8/8*(300832.48-81/81*192395.5)*0+9/9*(309516.06-81/81*196395.5)*0+10/10*(317495.06-81/81*196895.5))+(5/5)*127*0+1/1*4589</f>
        <v>125188.56</v>
      </c>
      <c r="J43" s="82"/>
      <c r="K43" s="81"/>
      <c r="L43" s="22"/>
      <c r="M43" s="11"/>
      <c r="N43" s="11"/>
      <c r="O43" s="11"/>
      <c r="P43" s="10">
        <f t="shared" si="7"/>
        <v>0</v>
      </c>
      <c r="Q43" s="112"/>
    </row>
    <row r="44" spans="1:17" ht="12.75">
      <c r="A44" s="7"/>
      <c r="B44" s="8">
        <v>5512</v>
      </c>
      <c r="C44" s="16" t="s">
        <v>34</v>
      </c>
      <c r="D44" s="17"/>
      <c r="E44" s="9"/>
      <c r="F44" s="9"/>
      <c r="G44" s="9"/>
      <c r="H44" s="10">
        <f t="shared" si="6"/>
        <v>0</v>
      </c>
      <c r="I44" s="83">
        <f>147553-2006/2006*90092</f>
        <v>57461</v>
      </c>
      <c r="J44" s="82" t="s">
        <v>169</v>
      </c>
      <c r="K44" s="81"/>
      <c r="L44" s="22"/>
      <c r="M44" s="11"/>
      <c r="N44" s="11"/>
      <c r="O44" s="11"/>
      <c r="P44" s="10">
        <f t="shared" si="7"/>
        <v>0</v>
      </c>
      <c r="Q44" s="112"/>
    </row>
    <row r="45" spans="1:17" ht="12.75">
      <c r="A45" s="7"/>
      <c r="B45" s="113">
        <f>H45+H90+H113-(7/7)*(8/8*385.1)</f>
        <v>0</v>
      </c>
      <c r="C45" s="113">
        <f>I45+I90+I113-(7/7)*(7/7*434189.98*0+8/8*448385.48*0+9/9*457069.06*0+10/10*469637.06)</f>
        <v>0</v>
      </c>
      <c r="D45" s="18">
        <f>SUM(D43:D44)</f>
        <v>95</v>
      </c>
      <c r="E45" s="12">
        <f>SUM(E43:E44)</f>
        <v>0</v>
      </c>
      <c r="F45" s="12"/>
      <c r="G45" s="12"/>
      <c r="H45" s="13">
        <f t="shared" si="6"/>
        <v>95</v>
      </c>
      <c r="I45" s="77">
        <f>SUM(I43:I44)</f>
        <v>182649.56</v>
      </c>
      <c r="J45" s="114">
        <f>P45+P90+P113-(7/7)*7/7*200</f>
        <v>0</v>
      </c>
      <c r="K45" s="84">
        <f>Q45+Q90+Q113-(7/7)*7/7*200000</f>
        <v>0</v>
      </c>
      <c r="L45" s="18">
        <f>SUM(L43:L44)</f>
        <v>0</v>
      </c>
      <c r="M45" s="12">
        <f>SUM(M43:M44)</f>
        <v>0</v>
      </c>
      <c r="N45" s="12"/>
      <c r="O45" s="12"/>
      <c r="P45" s="13">
        <f t="shared" si="7"/>
        <v>0</v>
      </c>
      <c r="Q45" s="115">
        <f>SUM(Q43:Q44)</f>
        <v>0</v>
      </c>
    </row>
    <row r="46" spans="1:17" ht="12.75">
      <c r="A46" s="7" t="s">
        <v>35</v>
      </c>
      <c r="B46" s="8">
        <v>3612</v>
      </c>
      <c r="C46" s="16" t="s">
        <v>36</v>
      </c>
      <c r="D46" s="17">
        <v>1000</v>
      </c>
      <c r="E46" s="10"/>
      <c r="F46" s="10"/>
      <c r="G46" s="10"/>
      <c r="H46" s="10">
        <f t="shared" si="6"/>
        <v>1000</v>
      </c>
      <c r="I46" s="83">
        <f>49868*0+3/3*103968*0+4/4*(181086+1/1*536)*0+6/6*(291646*0+7/7*327177*0+8/8*(381328-353733)-27595+9/9*(81811-27595)*0+10/10*(135419-27595*0)+1/1*(536*0+7/7*1046*0+10/10*1547))+10/10*1062/1062*468</f>
        <v>137434</v>
      </c>
      <c r="J46" s="111"/>
      <c r="K46" s="81"/>
      <c r="L46" s="22"/>
      <c r="M46" s="11"/>
      <c r="N46" s="11"/>
      <c r="O46" s="11"/>
      <c r="P46" s="10">
        <f t="shared" si="7"/>
        <v>0</v>
      </c>
      <c r="Q46" s="112"/>
    </row>
    <row r="47" spans="1:17" ht="12.75">
      <c r="A47" s="7"/>
      <c r="B47" s="8">
        <v>3639</v>
      </c>
      <c r="C47" s="16" t="s">
        <v>37</v>
      </c>
      <c r="D47" s="17">
        <v>6650</v>
      </c>
      <c r="E47" s="9">
        <f>6/6*-500+269.5</f>
        <v>-230.5</v>
      </c>
      <c r="F47" s="10"/>
      <c r="G47" s="10"/>
      <c r="H47" s="10">
        <f t="shared" si="6"/>
        <v>6419.5</v>
      </c>
      <c r="I47" s="83">
        <f>847000*0+3/3*1108000*0+4/4*1812000*0+6/6*3359489.42*0+7/7*3909489.42*0+8/8*4429489.42+9/9*600000+10/10*500000</f>
        <v>5529489.42</v>
      </c>
      <c r="J47" s="124"/>
      <c r="K47" s="81"/>
      <c r="L47" s="22"/>
      <c r="M47" s="11"/>
      <c r="N47" s="11"/>
      <c r="O47" s="11"/>
      <c r="P47" s="10">
        <f t="shared" si="7"/>
        <v>0</v>
      </c>
      <c r="Q47" s="112"/>
    </row>
    <row r="48" spans="1:17" ht="12.75">
      <c r="A48" s="7"/>
      <c r="B48" s="8"/>
      <c r="C48" s="125" t="s">
        <v>59</v>
      </c>
      <c r="D48" s="17"/>
      <c r="E48" s="10"/>
      <c r="F48" s="10"/>
      <c r="G48" s="10"/>
      <c r="H48" s="10"/>
      <c r="I48" s="83">
        <f>29000-3/3*29000+21032-3/3*21032+5484.02-3/3*2426.39+4/4*(-3057.63+29000+6220.44)*0-3057.63+6/6*(-17352+5040+5920.47)*0+5153/5153*7/7*-17352+5154/5154*(10080*0+9/9*26589.5*0+10/10*17640)+5162/5162*(8222.53*0+8/8*3057.63*0+9/9*6428*0+10/10*3057.63)</f>
        <v>3345.63</v>
      </c>
      <c r="J48" s="111"/>
      <c r="K48" s="81"/>
      <c r="L48" s="22"/>
      <c r="M48" s="11"/>
      <c r="N48" s="11"/>
      <c r="O48" s="11"/>
      <c r="P48" s="10"/>
      <c r="Q48" s="112"/>
    </row>
    <row r="49" spans="1:17" ht="12.75">
      <c r="A49" s="7"/>
      <c r="B49" s="8">
        <v>3632</v>
      </c>
      <c r="C49" s="16" t="s">
        <v>85</v>
      </c>
      <c r="D49" s="17"/>
      <c r="E49" s="9"/>
      <c r="F49" s="9"/>
      <c r="G49" s="9"/>
      <c r="H49" s="10">
        <f>D49+E49</f>
        <v>0</v>
      </c>
      <c r="I49" s="83"/>
      <c r="J49" s="111"/>
      <c r="K49" s="81"/>
      <c r="L49" s="22">
        <v>227</v>
      </c>
      <c r="M49" s="11"/>
      <c r="N49" s="11"/>
      <c r="O49" s="11"/>
      <c r="P49" s="10">
        <f aca="true" t="shared" si="8" ref="P49:P76">L49+M49</f>
        <v>227</v>
      </c>
      <c r="Q49" s="112">
        <f>20772*0+3/3*48242*0+4/4*68276*0+5/5*77931*0+6/6*106807*0+7/7*108165*0+8/8*114447+9/9*(846+115293*0)+10/10*-1704</f>
        <v>113589</v>
      </c>
    </row>
    <row r="50" spans="1:17" ht="12.75">
      <c r="A50" s="7"/>
      <c r="B50" s="113">
        <f>H50-(8/8)*(8/8*7419.5)</f>
        <v>0</v>
      </c>
      <c r="C50" s="113">
        <f>I50-(8/8)*(7/7*4238662.95*0+8/8*4807649.05*0+9/9*5128011.92*0+10/10*5670269.05)</f>
        <v>0</v>
      </c>
      <c r="D50" s="18">
        <f>SUM(D46:D49)</f>
        <v>7650</v>
      </c>
      <c r="E50" s="12">
        <f>SUM(E46:E49)</f>
        <v>-230.5</v>
      </c>
      <c r="F50" s="12"/>
      <c r="G50" s="12"/>
      <c r="H50" s="13">
        <f>D50+E50</f>
        <v>7419.5</v>
      </c>
      <c r="I50" s="77">
        <f>SUM(I46:I49)</f>
        <v>5670269.05</v>
      </c>
      <c r="J50" s="114">
        <f>P50-(8/8)*(8/8*227)</f>
        <v>0</v>
      </c>
      <c r="K50" s="84">
        <f>Q50-(8/8)*(7/7*108165*0+8/8*114447*0+10/10*113589)</f>
        <v>0</v>
      </c>
      <c r="L50" s="18">
        <f>SUM(L46:L49)</f>
        <v>227</v>
      </c>
      <c r="M50" s="12">
        <f>SUM(M46:M49)</f>
        <v>0</v>
      </c>
      <c r="N50" s="12"/>
      <c r="O50" s="12"/>
      <c r="P50" s="13">
        <f t="shared" si="8"/>
        <v>227</v>
      </c>
      <c r="Q50" s="115">
        <f>SUM(Q46:Q49)</f>
        <v>113589</v>
      </c>
    </row>
    <row r="51" spans="1:17" ht="12.75">
      <c r="A51" s="7" t="s">
        <v>38</v>
      </c>
      <c r="B51" s="8">
        <v>6112</v>
      </c>
      <c r="C51" s="16" t="s">
        <v>39</v>
      </c>
      <c r="D51" s="17">
        <v>1735</v>
      </c>
      <c r="E51" s="9">
        <f>5/5*(118/118*20+153/153*4)</f>
        <v>24</v>
      </c>
      <c r="F51" s="10"/>
      <c r="G51" s="10"/>
      <c r="H51" s="10">
        <f>D51+E51</f>
        <v>1759</v>
      </c>
      <c r="I51" s="83">
        <f>(205257.5*0+207545.5)*0+3/3*(425590.5+1/1*70)*0+(5/5)*238*0+4/4*647758.5*0+1/1*70+6/6*965262*0+7/7*1111582*0+8/8*1286732*0+9/9*(1444032+1/1*70*0)*0+10/10*1600553.5+13102007/13102007*4163.5</f>
        <v>1604787</v>
      </c>
      <c r="J51" s="111"/>
      <c r="K51" s="81"/>
      <c r="L51" s="22"/>
      <c r="M51" s="11"/>
      <c r="N51" s="11"/>
      <c r="O51" s="11"/>
      <c r="P51" s="10">
        <f t="shared" si="8"/>
        <v>0</v>
      </c>
      <c r="Q51" s="112"/>
    </row>
    <row r="52" spans="1:17" ht="12.75">
      <c r="A52" s="60">
        <f>(12+1.5+10*2+8+10+8+20+15+7+8.2+12.3+13+30+20+3.6+8+4+20-221.6*0)*1000-219100*0</f>
        <v>220600</v>
      </c>
      <c r="B52" s="8">
        <v>6171</v>
      </c>
      <c r="C52" s="16" t="s">
        <v>40</v>
      </c>
      <c r="D52" s="17">
        <v>41819</v>
      </c>
      <c r="E52" s="9">
        <f>48.9+7/7*-1876.8+11/11*-194.2</f>
        <v>-2022.1</v>
      </c>
      <c r="F52" s="10"/>
      <c r="G52" s="10"/>
      <c r="H52" s="10">
        <f>D52+E52</f>
        <v>39796.9</v>
      </c>
      <c r="I52" s="83">
        <f>(7/7*21295666.93*0+8/8*24043857.62*0+9/9*26903841.99*0+10/10*29859638.91-81/81*(17030*0+9/9*40840*0+10/10*57870)-98031/98031*(6/6*83790*0+7/7*97854*0+8/8*111492*0+9/9*125634*0+10/10*136908)-98/98*(8/8*957924+202150))+1/1*(6/6*313849*0+7/7*419593*0+8/8*419733*0+9/9*529082*0+10/10*553184)+3/3*(64856*0+3/3*128695*0+4/4*207133*0+6/6*336987*0+7/7*378209*0+8/8*440640*0+9/9*511454*0+10/10*576144)+5011/5011*225+5801/5801*(-36273*0-81086*0-123140*0-6/6*196955*0-7/7*252949*0-8/8*311929*0-9/9*380637*0-10/10*426229)+847374/847374*(864*0+3/3*1318*0+4/4*1761+844*0+6/6*2587*0+7/7*3020*0+8/8*3453*0+9/9*3886*0+10/10*4319)+6/6*5141/5141*(80039.7*0+7/7*0)+5192/5192*(6/6*299530*0+7/7*(300495-965))+(10/10)*(5141/5141*(72062.81*0+7/7*152102.51*0+10/10*174363.67)+5163/5163*(187.5*0+6/6*427.5*0+9/9*585))+4/4*(5/5)*14122*0+6/6*(11371/11371*7500+11401/11401*7500)+6310/6310*9/9*22261.16*0-I53+8/8*(9/9)*3113/3113*5169/5169*-24085.89*0+9/9*(5/5*3/3*6171/6171*5011/5011)*(-2460*0+0)+(5/5)*6171/6171*20</f>
        <v>15592374.48</v>
      </c>
      <c r="J52" s="124"/>
      <c r="K52" s="81"/>
      <c r="L52" s="22">
        <f>1032-2343/2343*882</f>
        <v>150</v>
      </c>
      <c r="M52" s="11"/>
      <c r="N52" s="11"/>
      <c r="O52" s="11"/>
      <c r="P52" s="10">
        <f t="shared" si="8"/>
        <v>150</v>
      </c>
      <c r="Q52" s="112"/>
    </row>
    <row r="53" spans="1:17" ht="12.75">
      <c r="A53" s="126" t="s">
        <v>162</v>
      </c>
      <c r="B53" s="8"/>
      <c r="C53" s="16" t="s">
        <v>145</v>
      </c>
      <c r="D53" s="17"/>
      <c r="E53" s="9"/>
      <c r="F53" s="10"/>
      <c r="G53" s="10"/>
      <c r="H53" s="10"/>
      <c r="I53" s="83">
        <f>(6395260*0+7/7*(13465015*0+7/7*8942161*0+8/8*(10211507*0+9580380)*0+(9/9*((11612900-9/9*1401393)-98216/98216*(617962*0+8/8*957924)-98116/98116*202150)))*0+10/10*(11612900-957924-202150))*(1+0.26+0.09+0.03*0)+1.2*0+7/7*0</f>
        <v>14111315.100000001</v>
      </c>
      <c r="J53" s="127" t="s">
        <v>94</v>
      </c>
      <c r="K53" s="81"/>
      <c r="L53" s="22"/>
      <c r="M53" s="11"/>
      <c r="N53" s="11"/>
      <c r="O53" s="11"/>
      <c r="P53" s="10"/>
      <c r="Q53" s="112"/>
    </row>
    <row r="54" spans="1:17" ht="12.75">
      <c r="A54" s="60">
        <f>(12+1.5+10*2+30+8+10+5+8+20+7+15+20+7+8.2+12.3+13+30+5+20+3.6+10+8+4+20+1.93-221.6*0)*1000-219100*0</f>
        <v>299530.00000000006</v>
      </c>
      <c r="B54" s="8"/>
      <c r="C54" s="16" t="s">
        <v>54</v>
      </c>
      <c r="D54" s="17"/>
      <c r="E54" s="10"/>
      <c r="F54" s="10"/>
      <c r="G54" s="10"/>
      <c r="H54" s="10">
        <f aca="true" t="shared" si="9" ref="H54:H62">D54+E54</f>
        <v>0</v>
      </c>
      <c r="I54" s="83">
        <f>83045.4*0+3/3*82768.6*0+6/6*165623.2+9/9*41427.3+10/10*48569.9</f>
        <v>255620.4</v>
      </c>
      <c r="J54" s="111"/>
      <c r="K54" s="21" t="s">
        <v>62</v>
      </c>
      <c r="L54" s="22">
        <v>722</v>
      </c>
      <c r="M54" s="11"/>
      <c r="N54" s="11"/>
      <c r="O54" s="11"/>
      <c r="P54" s="10">
        <f t="shared" si="8"/>
        <v>722</v>
      </c>
      <c r="Q54" s="112">
        <f>132000*0+3/3*159160*0+4/4*176160*0+5/5*178360*0+6/6*214460*0+7/7*266960*0+8/8*269360*0+9/9*395060*0+10/10*406260</f>
        <v>406260</v>
      </c>
    </row>
    <row r="55" spans="1:17" ht="12.75">
      <c r="A55" s="7"/>
      <c r="B55" s="86"/>
      <c r="C55" s="16" t="s">
        <v>26</v>
      </c>
      <c r="D55" s="17"/>
      <c r="E55" s="9">
        <f>4/4*278*0</f>
        <v>0</v>
      </c>
      <c r="F55" s="9"/>
      <c r="G55" s="9"/>
      <c r="H55" s="10">
        <f t="shared" si="9"/>
        <v>0</v>
      </c>
      <c r="I55" s="83"/>
      <c r="J55" s="111" t="s">
        <v>134</v>
      </c>
      <c r="K55" s="81"/>
      <c r="L55" s="22"/>
      <c r="M55" s="9">
        <f>278*0</f>
        <v>0</v>
      </c>
      <c r="N55" s="9"/>
      <c r="O55" s="9"/>
      <c r="P55" s="10">
        <f t="shared" si="8"/>
        <v>0</v>
      </c>
      <c r="Q55" s="112">
        <f>278000*0+3/3*202150*0</f>
        <v>0</v>
      </c>
    </row>
    <row r="56" spans="1:17" ht="12.75">
      <c r="A56" s="7"/>
      <c r="B56" s="86"/>
      <c r="C56" s="16" t="s">
        <v>122</v>
      </c>
      <c r="D56" s="17"/>
      <c r="E56" s="9">
        <f>202.1*0</f>
        <v>0</v>
      </c>
      <c r="F56" s="9"/>
      <c r="G56" s="9"/>
      <c r="H56" s="10">
        <f>D56+E56</f>
        <v>0</v>
      </c>
      <c r="I56" s="83"/>
      <c r="J56" s="111" t="s">
        <v>134</v>
      </c>
      <c r="K56" s="81"/>
      <c r="L56" s="22"/>
      <c r="M56" s="9">
        <f>278*0</f>
        <v>0</v>
      </c>
      <c r="N56" s="9"/>
      <c r="O56" s="9"/>
      <c r="P56" s="10">
        <f>L56+M56</f>
        <v>0</v>
      </c>
      <c r="Q56" s="112">
        <f>278000*0+3/3*202150*0</f>
        <v>0</v>
      </c>
    </row>
    <row r="57" spans="1:17" ht="12.75">
      <c r="A57" s="7"/>
      <c r="B57" s="8"/>
      <c r="C57" s="16" t="s">
        <v>160</v>
      </c>
      <c r="D57" s="17">
        <f>14330*3%+0.1</f>
        <v>430</v>
      </c>
      <c r="E57" s="10"/>
      <c r="F57" s="10"/>
      <c r="G57" s="10"/>
      <c r="H57" s="10">
        <f t="shared" si="9"/>
        <v>430</v>
      </c>
      <c r="I57" s="83">
        <f>4/4*218852*0+8/8*441956+10/10*481550*0</f>
        <v>441956</v>
      </c>
      <c r="J57" s="111"/>
      <c r="K57" s="62" t="s">
        <v>135</v>
      </c>
      <c r="L57" s="22"/>
      <c r="M57" s="11"/>
      <c r="N57" s="11"/>
      <c r="O57" s="11"/>
      <c r="P57" s="10">
        <f t="shared" si="8"/>
        <v>0</v>
      </c>
      <c r="Q57" s="112">
        <f>2460/2460*(32650*0+69800*0+3/3*104450*0+4/4*134600*0+5/5*167750*0+6/6*203800*0+7/7*240850*0+8/8*272650*0+9/9*313950*0+10/10*344250)</f>
        <v>344250</v>
      </c>
    </row>
    <row r="58" spans="1:17" ht="12.75">
      <c r="A58" s="15">
        <f>44340+(5101+(44340+60-27600)*32%)*0-10477</f>
        <v>33863</v>
      </c>
      <c r="B58" s="8"/>
      <c r="C58" s="16" t="s">
        <v>55</v>
      </c>
      <c r="D58" s="17"/>
      <c r="E58" s="10"/>
      <c r="F58" s="10"/>
      <c r="G58" s="10"/>
      <c r="H58" s="10">
        <f t="shared" si="9"/>
        <v>0</v>
      </c>
      <c r="I58" s="83">
        <f>117357.4*0+3/3*125725.4*0+4/4*180996.4*0+6/6*231718.9*0+8/8*252715.9*0+9/9*307192.9+10/10*36807</f>
        <v>343999.9</v>
      </c>
      <c r="J58" s="111"/>
      <c r="K58" s="21" t="s">
        <v>63</v>
      </c>
      <c r="L58" s="22"/>
      <c r="M58" s="11"/>
      <c r="N58" s="11"/>
      <c r="O58" s="11"/>
      <c r="P58" s="10">
        <f t="shared" si="8"/>
        <v>0</v>
      </c>
      <c r="Q58" s="112">
        <f>10000*0+3/3*65029*0+4/4*66480*0+5/5*67931*0+6/6*74382*0+7/7*80694*0+8/8*80949+9/9*10000</f>
        <v>90949</v>
      </c>
    </row>
    <row r="59" spans="1:17" ht="12.75">
      <c r="A59" s="15">
        <f>1730-(1730+70)*12%*0-216</f>
        <v>1514</v>
      </c>
      <c r="B59" s="8"/>
      <c r="C59" s="16" t="s">
        <v>56</v>
      </c>
      <c r="D59" s="17"/>
      <c r="E59" s="10"/>
      <c r="F59" s="10"/>
      <c r="G59" s="10"/>
      <c r="H59" s="10">
        <f t="shared" si="9"/>
        <v>0</v>
      </c>
      <c r="I59" s="83">
        <f>97844.5*0+3/3*99149.5*0+4/4*138034.5*0+6/6*157432.5*0+7/7*125753*0+8/8*168293.5*0+9/9*231562.5+10/10*8923</f>
        <v>240485.5</v>
      </c>
      <c r="J59" s="111"/>
      <c r="K59" s="21" t="s">
        <v>64</v>
      </c>
      <c r="L59" s="22"/>
      <c r="M59" s="11"/>
      <c r="N59" s="11"/>
      <c r="O59" s="11"/>
      <c r="P59" s="10">
        <f t="shared" si="8"/>
        <v>0</v>
      </c>
      <c r="Q59" s="112">
        <f>10212*0+6/6*25212</f>
        <v>25212</v>
      </c>
    </row>
    <row r="60" spans="1:17" ht="12.75">
      <c r="A60" s="15">
        <f>A58+A59</f>
        <v>35377</v>
      </c>
      <c r="B60" s="8"/>
      <c r="C60" s="16" t="s">
        <v>57</v>
      </c>
      <c r="D60" s="17"/>
      <c r="E60" s="9">
        <f>19+(265-50)-4375/4375*215</f>
        <v>19</v>
      </c>
      <c r="F60" s="10"/>
      <c r="G60" s="10"/>
      <c r="H60" s="10">
        <f>D60+E60</f>
        <v>19</v>
      </c>
      <c r="I60" s="83">
        <f>(36158*0+3/3*39935*0+4/4*54822*0+6/6*73598*0+8/8*75862*0+9/9*101699+10/10*8520.5+((98031/98031*3/3*4/4*41868*0)+5410/5410*(29280.9*0+3/3*63955.8*0+4/4*95138.1*0+6/6*144665.9*0+7/7*168465.9*0+8/8*217134.52*0+9/9*240934.52*0+10/10*271556.73)))</f>
        <v>381776.23</v>
      </c>
      <c r="J60" s="111"/>
      <c r="K60" s="21" t="s">
        <v>65</v>
      </c>
      <c r="L60" s="22"/>
      <c r="M60" s="11"/>
      <c r="N60" s="11"/>
      <c r="O60" s="11"/>
      <c r="P60" s="10">
        <f t="shared" si="8"/>
        <v>0</v>
      </c>
      <c r="Q60" s="112">
        <f>488307.84*0+3/3*1106019.44*0+4/4*1110254.8*0+5/5*1188447.34*0+1188985.34*0+8/8*1189285.34*0+9/9*1192877.34*0+10/10*1210504.34</f>
        <v>1210504.34</v>
      </c>
    </row>
    <row r="61" spans="1:17" ht="12.75">
      <c r="A61" s="15">
        <f>46070+(5101+(46070+30-27600)*32%)*0-11021</f>
        <v>35049</v>
      </c>
      <c r="B61" s="8"/>
      <c r="C61" s="16" t="s">
        <v>58</v>
      </c>
      <c r="D61" s="17"/>
      <c r="E61" s="10"/>
      <c r="F61" s="10"/>
      <c r="G61" s="10"/>
      <c r="H61" s="10">
        <f>D61+E61</f>
        <v>0</v>
      </c>
      <c r="I61" s="83">
        <f>34857.3*0+3/3*52317.8*0+4/4*130626.3*0+6/6*166832.8*0+8/8*178926.8*0+9/9*180015.8*0+10/10*185322.8</f>
        <v>185322.8</v>
      </c>
      <c r="J61" s="111"/>
      <c r="K61" s="21" t="s">
        <v>66</v>
      </c>
      <c r="L61" s="22">
        <f>882</f>
        <v>882</v>
      </c>
      <c r="M61" s="11"/>
      <c r="N61" s="11"/>
      <c r="O61" s="11"/>
      <c r="P61" s="10">
        <f t="shared" si="8"/>
        <v>882</v>
      </c>
      <c r="Q61" s="112">
        <f>48920*0+5/5*126273*0+7/7*149876*0+10/10*218770</f>
        <v>218770</v>
      </c>
    </row>
    <row r="62" spans="1:17" ht="12.75">
      <c r="A62" s="7"/>
      <c r="B62" s="8"/>
      <c r="C62" s="16" t="s">
        <v>144</v>
      </c>
      <c r="D62" s="17"/>
      <c r="E62" s="9"/>
      <c r="F62" s="9"/>
      <c r="G62" s="9"/>
      <c r="H62" s="10">
        <f t="shared" si="9"/>
        <v>0</v>
      </c>
      <c r="I62" s="83">
        <f>1368/1368*2050+2105/2105*-1680+(6/6*(4/4*1618.62)*0+7/7*0)</f>
        <v>370</v>
      </c>
      <c r="J62" s="111"/>
      <c r="K62" s="81"/>
      <c r="L62" s="22"/>
      <c r="M62" s="11"/>
      <c r="N62" s="11"/>
      <c r="O62" s="11"/>
      <c r="P62" s="10">
        <f t="shared" si="8"/>
        <v>0</v>
      </c>
      <c r="Q62" s="112"/>
    </row>
    <row r="63" spans="1:17" ht="12.75">
      <c r="A63" s="7"/>
      <c r="B63" s="128">
        <f>H63+H97+H98+H109+H110+H114-(9/9)*(9/9*45602.4*0+10/10*45942.4)-(10/10)*0</f>
        <v>-194.1999999999971</v>
      </c>
      <c r="C63" s="113">
        <f>I63+I97+I98+I109+I110+I114-(9/9)*(7/7*24204069.73*0+8/8*27233912.65*0+9/9*30619331.37*0+10/10*(33898134.74+(5/5)*20)-(8233/8233*2200))-(10/10)*7/7*(152102.51*0+10/10*174363.67+(427.5*0+9/9*585)+(218852*0+8/8*441956))</f>
        <v>-5.704350769519806E-09</v>
      </c>
      <c r="D63" s="18">
        <f>SUM(D51:D62)</f>
        <v>43984</v>
      </c>
      <c r="E63" s="12">
        <f>SUM(E51:E62)</f>
        <v>-1979.1</v>
      </c>
      <c r="F63" s="12"/>
      <c r="G63" s="12"/>
      <c r="H63" s="13">
        <f>D63+E63</f>
        <v>42004.9</v>
      </c>
      <c r="I63" s="77">
        <f>SUM(I51:I62)</f>
        <v>33158007.41</v>
      </c>
      <c r="J63" s="87">
        <f>P63+SUM(P64:P78)-(9/9)*(9/9*3130.5)-(10/10)*9/9*(0)</f>
        <v>57091.5</v>
      </c>
      <c r="K63" s="88">
        <f>Q63+SUM(Q64:Q78)-(9/9)*(7/7*3426202.02*0+8/8*3460957.02*0+9/9*3727366.99)-(10/10)*7/7*(-150000+(212.1*0+9/9*325.22)+3755)</f>
        <v>45899588.819999985</v>
      </c>
      <c r="L63" s="18">
        <f>SUM(L51:L62)</f>
        <v>1754</v>
      </c>
      <c r="M63" s="12">
        <f>SUM(M51:M62)</f>
        <v>0</v>
      </c>
      <c r="N63" s="12"/>
      <c r="O63" s="12"/>
      <c r="P63" s="13">
        <f t="shared" si="8"/>
        <v>1754</v>
      </c>
      <c r="Q63" s="115">
        <f>SUM(Q51:Q62)</f>
        <v>2295945.34</v>
      </c>
    </row>
    <row r="64" spans="1:17" ht="12.75">
      <c r="A64" s="7"/>
      <c r="B64" s="8"/>
      <c r="C64" s="16"/>
      <c r="D64" s="19"/>
      <c r="E64" s="10"/>
      <c r="F64" s="10"/>
      <c r="G64" s="10"/>
      <c r="H64" s="10"/>
      <c r="I64" s="83"/>
      <c r="J64" s="111"/>
      <c r="K64" s="21" t="s">
        <v>50</v>
      </c>
      <c r="L64" s="22">
        <f>2711*0+1341/1341*(348+228*0)+1342/1342*(54+2007/2007*9+70*0)+1343/1343*(761+404*0)+1344/1344*(27+11*0)+1347/1347*(1512+1076*0-335*0)</f>
        <v>2711</v>
      </c>
      <c r="M64" s="11"/>
      <c r="N64" s="11"/>
      <c r="O64" s="11"/>
      <c r="P64" s="10">
        <f t="shared" si="8"/>
        <v>2711</v>
      </c>
      <c r="Q64" s="112">
        <f>1/1*(34401*0+3/3*73707.75*0+4/4*116526*0+5/5*150544.25*0+6/6*153540*0+7/7*159758.75*0+8/8*162858.75*0+9/9*170892.75*0+10/10*173683.75)+2/2*(9735*0+3/3*13102.5*0+4/4*14092.5*0+5/5*16575*0+6/6*41955*0+7/7*28852.5*0+8/8*42142.5*0+9/9*49762.5*0+10/10*57750)+3/3*(180292*0+3/3*247472*0+4/4*306297*0+5/5*344710*0+6/6*363252*0+7/7*410638*0+8/8*436140*0+9/9*449176*0+10/10*489196)+4/4*(3/3*5391*0+4/4*6351*0+10416)+5/5*(45112*0+3/3*71004*0+4/4*105192*0+5/5*121116*0+6/6*148028*0+7/7*180112*0+8/8*192736*0+9/9*207260*0+10/10*268028)+7/7*(150000*0+3/3*398024*0+4/4*699392*0+5/5*859952*0+6/6*919952*0+8/8*1054952*0+9/9*1129952)</f>
        <v>2129025.75</v>
      </c>
    </row>
    <row r="65" spans="1:17" ht="12.75">
      <c r="A65" s="7"/>
      <c r="B65" s="8"/>
      <c r="C65" s="16"/>
      <c r="D65" s="19"/>
      <c r="E65" s="10"/>
      <c r="F65" s="10"/>
      <c r="G65" s="10"/>
      <c r="H65" s="10"/>
      <c r="I65" s="83"/>
      <c r="J65" s="111"/>
      <c r="K65" s="21" t="s">
        <v>67</v>
      </c>
      <c r="L65" s="22">
        <v>3700</v>
      </c>
      <c r="M65" s="11"/>
      <c r="N65" s="11"/>
      <c r="O65" s="11"/>
      <c r="P65" s="10">
        <f t="shared" si="8"/>
        <v>3700</v>
      </c>
      <c r="Q65" s="112">
        <f>451833*0+3/3*361118*0+4/4*583508*0+5/5*927878*0+6/6*1890828*0+7/7*2159683*0+8/8*2338478*0+9/9*2556698*0+10/10*2751773</f>
        <v>2751773</v>
      </c>
    </row>
    <row r="66" spans="1:17" ht="12.75">
      <c r="A66" s="7"/>
      <c r="B66" s="8"/>
      <c r="C66" s="16"/>
      <c r="D66" s="19"/>
      <c r="E66" s="10"/>
      <c r="F66" s="10"/>
      <c r="G66" s="10"/>
      <c r="H66" s="10"/>
      <c r="I66" s="83"/>
      <c r="J66" s="111"/>
      <c r="K66" s="21" t="s">
        <v>68</v>
      </c>
      <c r="L66" s="22">
        <v>4100</v>
      </c>
      <c r="M66" s="11"/>
      <c r="N66" s="11"/>
      <c r="O66" s="11"/>
      <c r="P66" s="10">
        <f t="shared" si="8"/>
        <v>4100</v>
      </c>
      <c r="Q66" s="112">
        <f>0+4/4*37069.27*0+5/5*41405.27*0+6/6*41946.27*0+7/7*3159832.27*0+8/8*3166283.27*0+9/9*3341915.27*0+10/10*3376312.27</f>
        <v>3376312.27</v>
      </c>
    </row>
    <row r="67" spans="1:17" ht="12.75" hidden="1">
      <c r="A67" s="7"/>
      <c r="B67" s="8"/>
      <c r="C67" s="16"/>
      <c r="D67" s="19"/>
      <c r="E67" s="10"/>
      <c r="F67" s="10"/>
      <c r="G67" s="10"/>
      <c r="H67" s="10"/>
      <c r="I67" s="83"/>
      <c r="J67" s="111"/>
      <c r="K67" s="21" t="s">
        <v>43</v>
      </c>
      <c r="L67" s="22"/>
      <c r="M67" s="11"/>
      <c r="N67" s="11"/>
      <c r="O67" s="11"/>
      <c r="P67" s="10">
        <f t="shared" si="8"/>
        <v>0</v>
      </c>
      <c r="Q67" s="112"/>
    </row>
    <row r="68" spans="1:17" ht="12.75">
      <c r="A68" s="7"/>
      <c r="B68" s="8"/>
      <c r="C68" s="16"/>
      <c r="D68" s="19"/>
      <c r="E68" s="10"/>
      <c r="F68" s="10"/>
      <c r="G68" s="10"/>
      <c r="H68" s="10"/>
      <c r="I68" s="83"/>
      <c r="J68" s="111"/>
      <c r="K68" s="21" t="s">
        <v>69</v>
      </c>
      <c r="L68" s="22">
        <v>977</v>
      </c>
      <c r="M68" s="11"/>
      <c r="N68" s="11"/>
      <c r="O68" s="11"/>
      <c r="P68" s="10">
        <f t="shared" si="8"/>
        <v>977</v>
      </c>
      <c r="Q68" s="112">
        <f>P68/(P68+P69)*(824000*10)-292.50784*7*0-28.63*0-4.14*0+9/9*20.3376*0-5.1804</f>
        <v>813750.0000306076</v>
      </c>
    </row>
    <row r="69" spans="1:17" ht="12.75">
      <c r="A69" s="7"/>
      <c r="B69" s="8"/>
      <c r="C69" s="16"/>
      <c r="D69" s="19"/>
      <c r="E69" s="10"/>
      <c r="F69" s="10"/>
      <c r="G69" s="10"/>
      <c r="H69" s="10"/>
      <c r="I69" s="83"/>
      <c r="J69" s="111"/>
      <c r="K69" s="21" t="s">
        <v>70</v>
      </c>
      <c r="L69" s="22">
        <v>8916</v>
      </c>
      <c r="M69" s="11"/>
      <c r="N69" s="11"/>
      <c r="O69" s="11"/>
      <c r="P69" s="10">
        <f t="shared" si="8"/>
        <v>8916</v>
      </c>
      <c r="Q69" s="112">
        <f>824000*10-Q68</f>
        <v>7426249.999969392</v>
      </c>
    </row>
    <row r="70" spans="1:17" ht="12.75">
      <c r="A70" s="7"/>
      <c r="B70" s="8"/>
      <c r="C70" s="16"/>
      <c r="D70" s="19"/>
      <c r="E70" s="10"/>
      <c r="F70" s="10"/>
      <c r="G70" s="10"/>
      <c r="H70" s="10"/>
      <c r="I70" s="83"/>
      <c r="J70" s="111"/>
      <c r="K70" s="21" t="s">
        <v>71</v>
      </c>
      <c r="L70" s="22">
        <v>24972</v>
      </c>
      <c r="M70" s="11"/>
      <c r="N70" s="11"/>
      <c r="O70" s="11"/>
      <c r="P70" s="10">
        <f t="shared" si="8"/>
        <v>24972</v>
      </c>
      <c r="Q70" s="112">
        <f>P70*1000/12*10</f>
        <v>20810000</v>
      </c>
    </row>
    <row r="71" spans="1:17" ht="12.75">
      <c r="A71" s="7"/>
      <c r="B71" s="8"/>
      <c r="C71" s="16"/>
      <c r="D71" s="19"/>
      <c r="E71" s="10"/>
      <c r="F71" s="10"/>
      <c r="G71" s="10"/>
      <c r="H71" s="10"/>
      <c r="I71" s="83"/>
      <c r="J71" s="111"/>
      <c r="K71" s="21" t="s">
        <v>44</v>
      </c>
      <c r="L71" s="22">
        <f>2390*0</f>
        <v>0</v>
      </c>
      <c r="M71" s="11"/>
      <c r="N71" s="11"/>
      <c r="O71" s="11"/>
      <c r="P71" s="10">
        <f t="shared" si="8"/>
        <v>0</v>
      </c>
      <c r="Q71" s="112"/>
    </row>
    <row r="72" spans="1:17" ht="12.75">
      <c r="A72" s="7"/>
      <c r="B72" s="8"/>
      <c r="C72" s="16"/>
      <c r="D72" s="19"/>
      <c r="E72" s="10"/>
      <c r="F72" s="10"/>
      <c r="G72" s="10"/>
      <c r="H72" s="10"/>
      <c r="I72" s="83"/>
      <c r="J72" s="111"/>
      <c r="K72" s="21" t="s">
        <v>73</v>
      </c>
      <c r="L72" s="22">
        <f>10500+2390</f>
        <v>12890</v>
      </c>
      <c r="M72" s="11">
        <f>7/7*-1876.8</f>
        <v>-1876.8</v>
      </c>
      <c r="N72" s="11"/>
      <c r="O72" s="11"/>
      <c r="P72" s="10">
        <f t="shared" si="8"/>
        <v>11013.2</v>
      </c>
      <c r="Q72" s="112">
        <f>2100000*0+3/3*2900000*0+4/4*3900000*0+5/5*5480000*0+6/6*4480000*0+7/7*5380000*0+8/8*6780000*0+9/9*8780000+1450000</f>
        <v>10230000</v>
      </c>
    </row>
    <row r="73" spans="1:17" ht="12.75">
      <c r="A73" s="7"/>
      <c r="B73" s="8"/>
      <c r="C73" s="16"/>
      <c r="D73" s="19"/>
      <c r="E73" s="10"/>
      <c r="F73" s="10"/>
      <c r="G73" s="10"/>
      <c r="H73" s="10"/>
      <c r="I73" s="83"/>
      <c r="J73" s="111"/>
      <c r="K73" s="23" t="s">
        <v>72</v>
      </c>
      <c r="L73" s="22">
        <v>2110</v>
      </c>
      <c r="M73" s="11"/>
      <c r="N73" s="11"/>
      <c r="O73" s="11"/>
      <c r="P73" s="10">
        <f t="shared" si="8"/>
        <v>2110</v>
      </c>
      <c r="Q73" s="112"/>
    </row>
    <row r="74" spans="1:17" ht="12.75" hidden="1">
      <c r="A74" s="7"/>
      <c r="B74" s="8"/>
      <c r="C74" s="16"/>
      <c r="D74" s="19"/>
      <c r="E74" s="10"/>
      <c r="F74" s="10"/>
      <c r="G74" s="10"/>
      <c r="H74" s="10"/>
      <c r="I74" s="83"/>
      <c r="J74" s="111"/>
      <c r="K74" s="21" t="s">
        <v>45</v>
      </c>
      <c r="L74" s="22"/>
      <c r="M74" s="11"/>
      <c r="N74" s="11"/>
      <c r="O74" s="11"/>
      <c r="P74" s="10">
        <f t="shared" si="8"/>
        <v>0</v>
      </c>
      <c r="Q74" s="112"/>
    </row>
    <row r="75" spans="1:17" ht="12.75">
      <c r="A75" s="7"/>
      <c r="B75" s="8"/>
      <c r="C75" s="16"/>
      <c r="D75" s="19"/>
      <c r="E75" s="10"/>
      <c r="F75" s="10"/>
      <c r="G75" s="10"/>
      <c r="H75" s="10"/>
      <c r="I75" s="83"/>
      <c r="J75" s="111"/>
      <c r="K75" s="21" t="s">
        <v>46</v>
      </c>
      <c r="L75" s="22">
        <v>163</v>
      </c>
      <c r="M75" s="11"/>
      <c r="N75" s="11"/>
      <c r="O75" s="11"/>
      <c r="P75" s="10">
        <f t="shared" si="8"/>
        <v>163</v>
      </c>
      <c r="Q75" s="112">
        <f>3/3*2141/2141*((9/9)*(8157.81*0+6/6*15950.68*0+9/9*32968.65)+(10/10)*105.59*0+6/6*212.1*0+9/9*325.22)</f>
        <v>33293.87</v>
      </c>
    </row>
    <row r="76" spans="1:17" ht="12.75">
      <c r="A76" s="7"/>
      <c r="B76" s="8"/>
      <c r="C76" s="16"/>
      <c r="D76" s="19"/>
      <c r="E76" s="10"/>
      <c r="F76" s="10"/>
      <c r="G76" s="10"/>
      <c r="H76" s="10"/>
      <c r="I76" s="83"/>
      <c r="J76" s="111"/>
      <c r="K76" s="129" t="s">
        <v>163</v>
      </c>
      <c r="L76" s="22"/>
      <c r="M76" s="11">
        <f>9/9*-1704.4+1510.2</f>
        <v>-194.20000000000005</v>
      </c>
      <c r="N76" s="11"/>
      <c r="O76" s="11"/>
      <c r="P76" s="10">
        <f t="shared" si="8"/>
        <v>-194.20000000000005</v>
      </c>
      <c r="Q76" s="112">
        <f>2221/2221*3755*0+9/9*-1704380.81+10/10*1510176.89</f>
        <v>-194203.92000000016</v>
      </c>
    </row>
    <row r="77" spans="1:17" ht="12.75">
      <c r="A77" s="7"/>
      <c r="B77" s="8"/>
      <c r="C77" s="16"/>
      <c r="D77" s="19"/>
      <c r="E77" s="10"/>
      <c r="F77" s="10"/>
      <c r="G77" s="10"/>
      <c r="H77" s="10"/>
      <c r="I77" s="83"/>
      <c r="J77" s="122"/>
      <c r="K77" s="23" t="s">
        <v>124</v>
      </c>
      <c r="L77" s="22"/>
      <c r="M77" s="11"/>
      <c r="N77" s="11"/>
      <c r="O77" s="11"/>
      <c r="P77" s="10"/>
      <c r="Q77" s="112">
        <f>2210/2210*4/4*-41110.28</f>
        <v>-41110.28</v>
      </c>
    </row>
    <row r="78" spans="1:17" ht="12.75">
      <c r="A78" s="7"/>
      <c r="B78" s="8"/>
      <c r="C78" s="16"/>
      <c r="D78" s="19"/>
      <c r="E78" s="10"/>
      <c r="F78" s="10"/>
      <c r="G78" s="10"/>
      <c r="H78" s="10"/>
      <c r="I78" s="83"/>
      <c r="J78" s="111"/>
      <c r="K78" s="21" t="s">
        <v>51</v>
      </c>
      <c r="L78" s="22"/>
      <c r="M78" s="11"/>
      <c r="N78" s="11"/>
      <c r="O78" s="11"/>
      <c r="P78" s="10"/>
      <c r="Q78" s="112">
        <v>-150000</v>
      </c>
    </row>
    <row r="79" spans="1:17" ht="12.75" hidden="1">
      <c r="A79" s="7"/>
      <c r="B79" s="8"/>
      <c r="C79" s="16"/>
      <c r="D79" s="19"/>
      <c r="E79" s="10"/>
      <c r="F79" s="10"/>
      <c r="G79" s="10"/>
      <c r="H79" s="10"/>
      <c r="I79" s="83"/>
      <c r="J79" s="111"/>
      <c r="K79" s="21" t="s">
        <v>47</v>
      </c>
      <c r="L79" s="22"/>
      <c r="M79" s="11"/>
      <c r="N79" s="11"/>
      <c r="O79" s="11"/>
      <c r="P79" s="10">
        <f>L79+M79</f>
        <v>0</v>
      </c>
      <c r="Q79" s="112"/>
    </row>
    <row r="80" spans="1:17" ht="13.5" thickBot="1">
      <c r="A80" s="33"/>
      <c r="B80" s="34"/>
      <c r="C80" s="35"/>
      <c r="D80" s="36">
        <f>SUM(D64:D79)</f>
        <v>0</v>
      </c>
      <c r="E80" s="37">
        <f>SUM(E64:E79)</f>
        <v>0</v>
      </c>
      <c r="F80" s="37"/>
      <c r="G80" s="37"/>
      <c r="H80" s="38">
        <f>D80+E80</f>
        <v>0</v>
      </c>
      <c r="I80" s="130">
        <f>SUM(I64:I79)</f>
        <v>0</v>
      </c>
      <c r="J80" s="131"/>
      <c r="K80" s="89"/>
      <c r="L80" s="36">
        <f>SUM(L64:L79)</f>
        <v>60539</v>
      </c>
      <c r="M80" s="37">
        <f>SUM(M64:M79)</f>
        <v>-2071</v>
      </c>
      <c r="N80" s="37"/>
      <c r="O80" s="37"/>
      <c r="P80" s="38">
        <f>L80+M80</f>
        <v>58468</v>
      </c>
      <c r="Q80" s="132">
        <f>SUM(Q64:Q79)</f>
        <v>47185090.68999999</v>
      </c>
    </row>
    <row r="81" spans="1:17" ht="14.25" thickBot="1" thickTop="1">
      <c r="A81" s="90" t="s">
        <v>82</v>
      </c>
      <c r="B81" s="39"/>
      <c r="C81" s="40"/>
      <c r="D81" s="41">
        <f>SUM(D3:D80)/2</f>
        <v>64406</v>
      </c>
      <c r="E81" s="42">
        <f>SUM(E3:E80)/2</f>
        <v>-2071</v>
      </c>
      <c r="F81" s="42"/>
      <c r="G81" s="42"/>
      <c r="H81" s="42">
        <f>SUM(H3:H80)/2</f>
        <v>62335</v>
      </c>
      <c r="I81" s="91">
        <f>SUM(I3:I80)/2</f>
        <v>51481743.120000005</v>
      </c>
      <c r="J81" s="92"/>
      <c r="K81" s="43" t="s">
        <v>83</v>
      </c>
      <c r="L81" s="41">
        <f>SUM(L3:L80)/2</f>
        <v>64406</v>
      </c>
      <c r="M81" s="42">
        <f>SUM(M3:M80)/2</f>
        <v>-2071</v>
      </c>
      <c r="N81" s="42"/>
      <c r="O81" s="42"/>
      <c r="P81" s="42">
        <f>SUM(P3:P80)/2</f>
        <v>62335</v>
      </c>
      <c r="Q81" s="93">
        <f>SUM(Q3:Q80)/2</f>
        <v>51171720.029999994</v>
      </c>
    </row>
    <row r="82" spans="11:17" ht="13.5" thickTop="1">
      <c r="K82" s="133" t="s">
        <v>81</v>
      </c>
      <c r="L82" s="134">
        <f>L81-D81</f>
        <v>0</v>
      </c>
      <c r="M82" s="134">
        <f>M81-E81</f>
        <v>0</v>
      </c>
      <c r="N82" s="135">
        <f>N81-I81</f>
        <v>-51481743.120000005</v>
      </c>
      <c r="P82" s="134">
        <f>P81-H81</f>
        <v>0</v>
      </c>
      <c r="Q82" s="134">
        <f>Q81-I81</f>
        <v>-310023.090000011</v>
      </c>
    </row>
    <row r="83" spans="1:17" ht="19.5" customHeight="1" thickBot="1">
      <c r="A83" s="156" t="s">
        <v>86</v>
      </c>
      <c r="B83" s="44"/>
      <c r="C83" s="64"/>
      <c r="Q83" s="78"/>
    </row>
    <row r="84" spans="1:17" ht="13.5" thickTop="1">
      <c r="A84" s="46" t="s">
        <v>87</v>
      </c>
      <c r="B84" s="59" t="s">
        <v>109</v>
      </c>
      <c r="C84" s="136" t="s">
        <v>154</v>
      </c>
      <c r="D84" s="47"/>
      <c r="E84" s="137">
        <v>219.6</v>
      </c>
      <c r="F84" s="137"/>
      <c r="G84" s="137"/>
      <c r="H84" s="58">
        <f aca="true" t="shared" si="10" ref="H84:H97">D84+E84</f>
        <v>219.6</v>
      </c>
      <c r="I84" s="138">
        <f>436654-217034</f>
        <v>219620</v>
      </c>
      <c r="J84" s="139" t="s">
        <v>170</v>
      </c>
      <c r="K84" s="96"/>
      <c r="L84" s="48"/>
      <c r="M84" s="49"/>
      <c r="N84" s="49"/>
      <c r="O84" s="49"/>
      <c r="P84" s="58">
        <f aca="true" t="shared" si="11" ref="P84:P97">L84+M84</f>
        <v>0</v>
      </c>
      <c r="Q84" s="140"/>
    </row>
    <row r="85" spans="1:17" ht="12.75">
      <c r="A85" s="45" t="s">
        <v>105</v>
      </c>
      <c r="B85" s="141" t="s">
        <v>109</v>
      </c>
      <c r="C85" s="98" t="s">
        <v>155</v>
      </c>
      <c r="D85" s="27"/>
      <c r="E85" s="28">
        <f>6/6*600</f>
        <v>600</v>
      </c>
      <c r="F85" s="28"/>
      <c r="G85" s="28"/>
      <c r="H85" s="10">
        <f t="shared" si="10"/>
        <v>600</v>
      </c>
      <c r="I85" s="83">
        <f>436654-90/90*219620+6/6*20002+8/8*22391-16/16*217034+10/10*94815</f>
        <v>137208</v>
      </c>
      <c r="J85" s="97" t="s">
        <v>96</v>
      </c>
      <c r="K85" s="81"/>
      <c r="L85" s="22"/>
      <c r="M85" s="11">
        <f>6/6*600</f>
        <v>600</v>
      </c>
      <c r="N85" s="11"/>
      <c r="O85" s="11"/>
      <c r="P85" s="10">
        <f>L85+M85</f>
        <v>600</v>
      </c>
      <c r="Q85" s="142">
        <f>8/8*300000+9/9*300000</f>
        <v>600000</v>
      </c>
    </row>
    <row r="86" spans="1:17" ht="12.75">
      <c r="A86" s="45" t="s">
        <v>87</v>
      </c>
      <c r="B86" s="8" t="s">
        <v>110</v>
      </c>
      <c r="C86" s="16" t="s">
        <v>123</v>
      </c>
      <c r="D86" s="17"/>
      <c r="E86" s="9">
        <f>8846/8846*16.5+8887/8887*51.7</f>
        <v>68.2</v>
      </c>
      <c r="F86" s="9"/>
      <c r="G86" s="9"/>
      <c r="H86" s="10">
        <f t="shared" si="10"/>
        <v>68.2</v>
      </c>
      <c r="I86" s="83">
        <f>8846/8846*(71424*0+90/90*16499.4)+8887/8887*90/90*(24968.7*0+7/7*51733.8)+3600*3/3*0</f>
        <v>68233.20000000001</v>
      </c>
      <c r="J86" s="111" t="s">
        <v>171</v>
      </c>
      <c r="K86" s="81"/>
      <c r="L86" s="22"/>
      <c r="M86" s="11"/>
      <c r="N86" s="11"/>
      <c r="O86" s="11"/>
      <c r="P86" s="10">
        <f t="shared" si="11"/>
        <v>0</v>
      </c>
      <c r="Q86" s="112"/>
    </row>
    <row r="87" spans="1:17" ht="12.75">
      <c r="A87" s="45" t="s">
        <v>87</v>
      </c>
      <c r="B87" s="8" t="s">
        <v>113</v>
      </c>
      <c r="C87" s="16" t="s">
        <v>156</v>
      </c>
      <c r="D87" s="17"/>
      <c r="E87" s="9">
        <f>90/90*97.6+84/84*900*0</f>
        <v>97.6</v>
      </c>
      <c r="F87" s="10"/>
      <c r="G87" s="10"/>
      <c r="H87" s="10">
        <f t="shared" si="10"/>
        <v>97.6</v>
      </c>
      <c r="I87" s="83">
        <f>9/9*97615.05</f>
        <v>97615.05</v>
      </c>
      <c r="J87" s="111" t="s">
        <v>172</v>
      </c>
      <c r="K87" s="81"/>
      <c r="L87" s="22"/>
      <c r="M87" s="11"/>
      <c r="N87" s="11"/>
      <c r="O87" s="11"/>
      <c r="P87" s="10">
        <f t="shared" si="11"/>
        <v>0</v>
      </c>
      <c r="Q87" s="112"/>
    </row>
    <row r="88" spans="1:17" ht="12.75">
      <c r="A88" s="45" t="s">
        <v>105</v>
      </c>
      <c r="B88" s="8" t="s">
        <v>113</v>
      </c>
      <c r="C88" s="16" t="s">
        <v>156</v>
      </c>
      <c r="D88" s="17"/>
      <c r="E88" s="9">
        <f>90/90*97.6*0+84/84*900</f>
        <v>900</v>
      </c>
      <c r="F88" s="10"/>
      <c r="G88" s="10"/>
      <c r="H88" s="10">
        <f>D88+E88</f>
        <v>900</v>
      </c>
      <c r="I88" s="83">
        <f>9/9*632283.95</f>
        <v>632283.95</v>
      </c>
      <c r="J88" s="97" t="s">
        <v>96</v>
      </c>
      <c r="K88" s="81"/>
      <c r="L88" s="22"/>
      <c r="M88" s="11">
        <v>900</v>
      </c>
      <c r="N88" s="11"/>
      <c r="O88" s="11"/>
      <c r="P88" s="10">
        <f t="shared" si="11"/>
        <v>900</v>
      </c>
      <c r="Q88" s="112">
        <f>6/6*300000+7/7*300000+8/8*300000</f>
        <v>900000</v>
      </c>
    </row>
    <row r="89" spans="1:17" ht="12.75">
      <c r="A89" s="45" t="s">
        <v>87</v>
      </c>
      <c r="B89" s="8" t="s">
        <v>119</v>
      </c>
      <c r="C89" s="16" t="s">
        <v>101</v>
      </c>
      <c r="D89" s="17"/>
      <c r="E89" s="9">
        <f>90/90*242.4</f>
        <v>242.4</v>
      </c>
      <c r="F89" s="9"/>
      <c r="G89" s="9"/>
      <c r="H89" s="10">
        <f t="shared" si="10"/>
        <v>242.4</v>
      </c>
      <c r="I89" s="83">
        <f>(107100+355872.2)*0+3/3*(13400+8233/8233*178500+8290/8290*355072.2)*0+4/4*(355072.2-16/16*112699.6)</f>
        <v>242372.6</v>
      </c>
      <c r="J89" s="97" t="s">
        <v>97</v>
      </c>
      <c r="K89" s="81"/>
      <c r="L89" s="22"/>
      <c r="M89" s="11"/>
      <c r="N89" s="11"/>
      <c r="O89" s="11"/>
      <c r="P89" s="10">
        <f t="shared" si="11"/>
        <v>0</v>
      </c>
      <c r="Q89" s="112"/>
    </row>
    <row r="90" spans="1:17" ht="12.75">
      <c r="A90" s="45" t="s">
        <v>87</v>
      </c>
      <c r="B90" s="8" t="s">
        <v>143</v>
      </c>
      <c r="C90" s="16" t="s">
        <v>102</v>
      </c>
      <c r="D90" s="17"/>
      <c r="E90" s="9">
        <f>90/90*90.1</f>
        <v>90.1</v>
      </c>
      <c r="F90" s="9"/>
      <c r="G90" s="9"/>
      <c r="H90" s="10">
        <f t="shared" si="10"/>
        <v>90.1</v>
      </c>
      <c r="I90" s="143">
        <f>147553-16/16*57461</f>
        <v>90092</v>
      </c>
      <c r="J90" s="97" t="s">
        <v>97</v>
      </c>
      <c r="K90" s="81"/>
      <c r="L90" s="22"/>
      <c r="M90" s="11"/>
      <c r="N90" s="11"/>
      <c r="O90" s="11"/>
      <c r="P90" s="10">
        <f t="shared" si="11"/>
        <v>0</v>
      </c>
      <c r="Q90" s="144"/>
    </row>
    <row r="91" spans="1:17" ht="12.75">
      <c r="A91" s="45" t="s">
        <v>95</v>
      </c>
      <c r="B91" s="25" t="s">
        <v>111</v>
      </c>
      <c r="C91" s="26" t="s">
        <v>146</v>
      </c>
      <c r="D91" s="27"/>
      <c r="E91" s="28">
        <v>195.1</v>
      </c>
      <c r="F91" s="28"/>
      <c r="G91" s="28"/>
      <c r="H91" s="29">
        <f>D91+E91</f>
        <v>195.1</v>
      </c>
      <c r="I91" s="83"/>
      <c r="J91" s="97" t="s">
        <v>96</v>
      </c>
      <c r="K91" s="80"/>
      <c r="L91" s="30"/>
      <c r="M91" s="28">
        <v>195.1</v>
      </c>
      <c r="N91" s="28"/>
      <c r="O91" s="28"/>
      <c r="P91" s="29">
        <f>L91+M91</f>
        <v>195.1</v>
      </c>
      <c r="Q91" s="112">
        <f>3/3*195100</f>
        <v>195100</v>
      </c>
    </row>
    <row r="92" spans="1:17" ht="12.75">
      <c r="A92" s="45" t="s">
        <v>95</v>
      </c>
      <c r="B92" s="8" t="s">
        <v>112</v>
      </c>
      <c r="C92" s="16" t="s">
        <v>5</v>
      </c>
      <c r="D92" s="17"/>
      <c r="E92" s="9">
        <v>3300</v>
      </c>
      <c r="F92" s="9"/>
      <c r="G92" s="9"/>
      <c r="H92" s="10">
        <f t="shared" si="10"/>
        <v>3300</v>
      </c>
      <c r="I92" s="83">
        <f>825000*0+4/4*1025000*0+5/5*1375000*0+7/7*1925000*0+8/8*2200000*0+9/9*2612500*0+10/10*2887500</f>
        <v>2887500</v>
      </c>
      <c r="J92" s="97" t="s">
        <v>96</v>
      </c>
      <c r="K92" s="81"/>
      <c r="L92" s="22"/>
      <c r="M92" s="9">
        <v>3300</v>
      </c>
      <c r="N92" s="9"/>
      <c r="O92" s="9"/>
      <c r="P92" s="10">
        <f t="shared" si="11"/>
        <v>3300</v>
      </c>
      <c r="Q92" s="112">
        <v>3300000</v>
      </c>
    </row>
    <row r="93" spans="1:17" ht="12.75">
      <c r="A93" s="45" t="s">
        <v>95</v>
      </c>
      <c r="B93" s="6" t="s">
        <v>118</v>
      </c>
      <c r="C93" s="16" t="s">
        <v>17</v>
      </c>
      <c r="D93" s="17"/>
      <c r="E93" s="9">
        <v>70</v>
      </c>
      <c r="F93" s="9"/>
      <c r="G93" s="9"/>
      <c r="H93" s="10">
        <f t="shared" si="10"/>
        <v>70</v>
      </c>
      <c r="I93" s="83">
        <f>2000*0+3/3*2550*0+4/4*4850*0+5/5*8650*0+6/6*10350*0+7/7*10950*0+9/9*13650</f>
        <v>13650</v>
      </c>
      <c r="J93" s="97" t="s">
        <v>96</v>
      </c>
      <c r="K93" s="20" t="s">
        <v>80</v>
      </c>
      <c r="L93" s="22"/>
      <c r="M93" s="9">
        <v>70</v>
      </c>
      <c r="N93" s="9"/>
      <c r="O93" s="9"/>
      <c r="P93" s="10">
        <f t="shared" si="11"/>
        <v>70</v>
      </c>
      <c r="Q93" s="112">
        <f>3/3*70000</f>
        <v>70000</v>
      </c>
    </row>
    <row r="94" spans="1:17" ht="12.75">
      <c r="A94" s="45" t="s">
        <v>98</v>
      </c>
      <c r="B94" s="14" t="s">
        <v>18</v>
      </c>
      <c r="C94" s="16" t="s">
        <v>19</v>
      </c>
      <c r="D94" s="17"/>
      <c r="E94" s="9">
        <f>11983.5*0+6/6*21413.5+8/8*1500+4570-11/11*(5343.5+1000)-E95</f>
        <v>6640</v>
      </c>
      <c r="F94" s="9"/>
      <c r="G94" s="9"/>
      <c r="H94" s="10">
        <f t="shared" si="10"/>
        <v>6640</v>
      </c>
      <c r="I94" s="83">
        <f>71/71*(8/8*367853*0+9/9*432695*0+10/10*494715)+72/72*(8/8*5846*0+9/9*9692*0+10/10*15938)+73/73*(8/8*227630*0+9/9*242224*0+10/10*256639)+77/77*(8/8*3000*0+9/9*5000*0+10/10*6000)+79/79*(8/8*9/9*151509)+81/81*(8/8*0)+82/82*(8/8*534311*0+9/9*675671*0+10/10*683431)+83/83*(8/8*4800*0+9/9*5400*0+10/10*6000)+84/84*(8/8*335000*0+10/10*485000)+85/85*(8/8*2145925*0+9/9*2165831*0+10/10*2164748)+86/86*(8/8*77466)-1/1*786715*0-2/2*1633100*0-3/3*2300767*0-4/4*2646829*0+5/5*2874139*0+6/6*9932826*0+7/7*11544472*0+8/8*(-3853340+13307340)*0+9/9*(-4100488+14769488)*0+10/10*(-4341446+16245446)-I95</f>
        <v>4341446</v>
      </c>
      <c r="J94" s="97">
        <f>I94/(H94*1000)</f>
        <v>0.6538322289156626</v>
      </c>
      <c r="K94" s="20" t="s">
        <v>48</v>
      </c>
      <c r="L94" s="22"/>
      <c r="M94" s="9">
        <f>11983.5+11/11*-5343.5</f>
        <v>6640</v>
      </c>
      <c r="N94" s="9"/>
      <c r="O94" s="9"/>
      <c r="P94" s="10">
        <f t="shared" si="11"/>
        <v>6640</v>
      </c>
      <c r="Q94" s="112">
        <f>3640000+5/5*400000+8/8*500000+10/10*400000</f>
        <v>4940000</v>
      </c>
    </row>
    <row r="95" spans="1:17" ht="12.75">
      <c r="A95" s="45" t="s">
        <v>99</v>
      </c>
      <c r="B95" s="14">
        <v>4195</v>
      </c>
      <c r="C95" s="16" t="s">
        <v>1</v>
      </c>
      <c r="D95" s="17"/>
      <c r="E95" s="9">
        <f>7075+6/6*2355+8/8*1500+9/9*4570+11/11*-1000</f>
        <v>14500</v>
      </c>
      <c r="F95" s="9"/>
      <c r="G95" s="9"/>
      <c r="H95" s="10">
        <f t="shared" si="10"/>
        <v>14500</v>
      </c>
      <c r="I95" s="83">
        <f>2/2*1950000*0+3/3*3125000*0+4/4*4278000*0+5/5*5512000*0+6/6*6603000*0+7/7*7993000*0+8/8*9454000*0+9/9*10669000*0+10/10*11904000</f>
        <v>11904000</v>
      </c>
      <c r="J95" s="97">
        <f>I95/(H95*1000)</f>
        <v>0.8209655172413793</v>
      </c>
      <c r="K95" s="20" t="s">
        <v>49</v>
      </c>
      <c r="L95" s="22"/>
      <c r="M95" s="9">
        <f>7075+2355+8/8*1500+9/9*4570+11/11*-1000</f>
        <v>14500</v>
      </c>
      <c r="N95" s="9"/>
      <c r="O95" s="9"/>
      <c r="P95" s="10">
        <f t="shared" si="11"/>
        <v>14500</v>
      </c>
      <c r="Q95" s="112">
        <f>2011320+3/3*1093000+4/4*1350000+5/5*1077680+6/6*1348000+7/7*1490000+8/8*1243000+9/9*1560000+10/10*1381000</f>
        <v>12554000</v>
      </c>
    </row>
    <row r="96" spans="1:17" ht="12.75">
      <c r="A96" s="45" t="s">
        <v>95</v>
      </c>
      <c r="B96" s="8" t="s">
        <v>114</v>
      </c>
      <c r="C96" s="16" t="s">
        <v>13</v>
      </c>
      <c r="D96" s="17"/>
      <c r="E96" s="9">
        <v>70</v>
      </c>
      <c r="F96" s="9"/>
      <c r="G96" s="9"/>
      <c r="H96" s="10">
        <f t="shared" si="10"/>
        <v>70</v>
      </c>
      <c r="I96" s="83">
        <f>4/4*70000</f>
        <v>70000</v>
      </c>
      <c r="J96" s="97" t="s">
        <v>96</v>
      </c>
      <c r="K96" s="76">
        <f>I94+I95-14769488</f>
        <v>1475958</v>
      </c>
      <c r="L96" s="22"/>
      <c r="M96" s="9">
        <v>70</v>
      </c>
      <c r="N96" s="9"/>
      <c r="O96" s="9"/>
      <c r="P96" s="10">
        <f t="shared" si="11"/>
        <v>70</v>
      </c>
      <c r="Q96" s="112">
        <f>3/3*70000</f>
        <v>70000</v>
      </c>
    </row>
    <row r="97" spans="1:17" ht="12.75">
      <c r="A97" s="45" t="s">
        <v>107</v>
      </c>
      <c r="B97" s="8">
        <v>6171</v>
      </c>
      <c r="C97" s="16" t="s">
        <v>104</v>
      </c>
      <c r="D97" s="17"/>
      <c r="E97" s="9">
        <f>278+5/5*340+7/7*340+10/10*340</f>
        <v>1298</v>
      </c>
      <c r="F97" s="9"/>
      <c r="G97" s="9"/>
      <c r="H97" s="10">
        <f t="shared" si="10"/>
        <v>1298</v>
      </c>
      <c r="I97" s="83">
        <f>6/6*617962*0+8/8*957924</f>
        <v>957924</v>
      </c>
      <c r="J97" s="145" t="s">
        <v>100</v>
      </c>
      <c r="K97" s="76">
        <f>H94+H95-27483.5</f>
        <v>-6343.5</v>
      </c>
      <c r="L97" s="22"/>
      <c r="M97" s="9">
        <f>278+5/5*340+7/7*340+10/10*340</f>
        <v>1298</v>
      </c>
      <c r="N97" s="9"/>
      <c r="O97" s="9"/>
      <c r="P97" s="10">
        <f t="shared" si="11"/>
        <v>1298</v>
      </c>
      <c r="Q97" s="112">
        <f>278000*0+3/3*202150*0+5/5*339962*0+6/6*957924*0+10/10*1297887</f>
        <v>1297887</v>
      </c>
    </row>
    <row r="98" spans="1:17" ht="12.75">
      <c r="A98" s="45" t="s">
        <v>108</v>
      </c>
      <c r="B98" s="8">
        <v>6171</v>
      </c>
      <c r="C98" s="16" t="s">
        <v>103</v>
      </c>
      <c r="D98" s="17"/>
      <c r="E98" s="9">
        <f>202.1</f>
        <v>202.1</v>
      </c>
      <c r="F98" s="9"/>
      <c r="G98" s="9"/>
      <c r="H98" s="10">
        <f aca="true" t="shared" si="12" ref="H98:H104">D98+E98</f>
        <v>202.1</v>
      </c>
      <c r="I98" s="83">
        <f>6/6*202150</f>
        <v>202150</v>
      </c>
      <c r="J98" s="145" t="s">
        <v>100</v>
      </c>
      <c r="K98" s="81"/>
      <c r="L98" s="22"/>
      <c r="M98" s="9">
        <f>4/4*98116/98116*202.1</f>
        <v>202.1</v>
      </c>
      <c r="N98" s="9"/>
      <c r="O98" s="9"/>
      <c r="P98" s="10">
        <f aca="true" t="shared" si="13" ref="P98:P104">L98+M98</f>
        <v>202.1</v>
      </c>
      <c r="Q98" s="112">
        <f>278000*0+3/3*202150</f>
        <v>202150</v>
      </c>
    </row>
    <row r="99" spans="1:17" ht="12.75">
      <c r="A99" s="45" t="s">
        <v>105</v>
      </c>
      <c r="B99" s="8" t="s">
        <v>114</v>
      </c>
      <c r="C99" s="16" t="s">
        <v>173</v>
      </c>
      <c r="D99" s="17"/>
      <c r="E99" s="9">
        <f>4/4*7599/7599*2900</f>
        <v>2900</v>
      </c>
      <c r="F99" s="9"/>
      <c r="G99" s="9"/>
      <c r="H99" s="10">
        <f t="shared" si="12"/>
        <v>2900</v>
      </c>
      <c r="I99" s="83">
        <f>4/4*0+6/6*30000*0+8/8*41500*0+9/9*2033960*0+10/10*2057960</f>
        <v>2057960</v>
      </c>
      <c r="J99" s="97" t="s">
        <v>96</v>
      </c>
      <c r="K99" s="81"/>
      <c r="L99" s="22"/>
      <c r="M99" s="9">
        <f>4/4*7599/7599*2900</f>
        <v>2900</v>
      </c>
      <c r="N99" s="9"/>
      <c r="O99" s="9"/>
      <c r="P99" s="10">
        <f t="shared" si="13"/>
        <v>2900</v>
      </c>
      <c r="Q99" s="112">
        <f>6/6*100000+7/7*1400000+8/8*1400000</f>
        <v>2900000</v>
      </c>
    </row>
    <row r="100" spans="1:17" ht="12.75">
      <c r="A100" s="45" t="s">
        <v>105</v>
      </c>
      <c r="B100" s="8" t="s">
        <v>115</v>
      </c>
      <c r="C100" s="16" t="s">
        <v>174</v>
      </c>
      <c r="D100" s="17"/>
      <c r="E100" s="9">
        <f>4/4*8425/8425*3000</f>
        <v>3000</v>
      </c>
      <c r="F100" s="9"/>
      <c r="G100" s="9"/>
      <c r="H100" s="10">
        <f t="shared" si="12"/>
        <v>3000</v>
      </c>
      <c r="I100" s="83">
        <f>4/4*0+9/9*96817*0+10/10*103317</f>
        <v>103317</v>
      </c>
      <c r="J100" s="97" t="s">
        <v>96</v>
      </c>
      <c r="K100" s="81"/>
      <c r="L100" s="22"/>
      <c r="M100" s="9">
        <f>4/4*8425/8425*3000</f>
        <v>3000</v>
      </c>
      <c r="N100" s="9"/>
      <c r="O100" s="9"/>
      <c r="P100" s="10">
        <f t="shared" si="13"/>
        <v>3000</v>
      </c>
      <c r="Q100" s="112">
        <f>6/6*1000000+7/7*1000000+8/8*1000000</f>
        <v>3000000</v>
      </c>
    </row>
    <row r="101" spans="1:17" ht="12.75">
      <c r="A101" s="45" t="s">
        <v>95</v>
      </c>
      <c r="B101" s="8" t="s">
        <v>116</v>
      </c>
      <c r="C101" s="16" t="s">
        <v>117</v>
      </c>
      <c r="D101" s="17"/>
      <c r="E101" s="9">
        <f>4/4*81/81*383+10/10*128</f>
        <v>511</v>
      </c>
      <c r="F101" s="9"/>
      <c r="G101" s="9"/>
      <c r="H101" s="10">
        <f t="shared" si="12"/>
        <v>511</v>
      </c>
      <c r="I101" s="83">
        <f>4/4*0</f>
        <v>0</v>
      </c>
      <c r="J101" s="97" t="s">
        <v>96</v>
      </c>
      <c r="K101" s="76">
        <f>Q101+Q93+Q111-553000</f>
        <v>128000</v>
      </c>
      <c r="L101" s="22"/>
      <c r="M101" s="9">
        <f>4/4*81/81*383+10/10*128</f>
        <v>511</v>
      </c>
      <c r="N101" s="9"/>
      <c r="O101" s="9"/>
      <c r="P101" s="10">
        <f t="shared" si="13"/>
        <v>511</v>
      </c>
      <c r="Q101" s="112">
        <f>4/4*383000+10/10*128000</f>
        <v>511000</v>
      </c>
    </row>
    <row r="102" spans="1:17" ht="12.75">
      <c r="A102" s="45" t="s">
        <v>95</v>
      </c>
      <c r="B102" s="8" t="s">
        <v>120</v>
      </c>
      <c r="C102" s="16" t="s">
        <v>121</v>
      </c>
      <c r="D102" s="17"/>
      <c r="E102" s="9">
        <f>4/4*81/81*39.8</f>
        <v>39.8</v>
      </c>
      <c r="F102" s="9"/>
      <c r="G102" s="9"/>
      <c r="H102" s="10">
        <f t="shared" si="12"/>
        <v>39.8</v>
      </c>
      <c r="I102" s="83">
        <f>4/4*39800</f>
        <v>39800</v>
      </c>
      <c r="J102" s="97" t="s">
        <v>96</v>
      </c>
      <c r="K102" s="81"/>
      <c r="L102" s="22"/>
      <c r="M102" s="9">
        <f>4/4*39.8</f>
        <v>39.8</v>
      </c>
      <c r="N102" s="9"/>
      <c r="O102" s="9"/>
      <c r="P102" s="10">
        <f t="shared" si="13"/>
        <v>39.8</v>
      </c>
      <c r="Q102" s="112">
        <f>4/4*39800</f>
        <v>39800</v>
      </c>
    </row>
    <row r="103" spans="1:17" ht="12.75">
      <c r="A103" s="45" t="s">
        <v>105</v>
      </c>
      <c r="B103" s="8" t="s">
        <v>119</v>
      </c>
      <c r="C103" s="16" t="s">
        <v>175</v>
      </c>
      <c r="D103" s="17"/>
      <c r="E103" s="9">
        <f>4/4*4387/4387*150</f>
        <v>150</v>
      </c>
      <c r="F103" s="9"/>
      <c r="G103" s="9"/>
      <c r="H103" s="10">
        <f t="shared" si="12"/>
        <v>150</v>
      </c>
      <c r="I103" s="83">
        <f>4/4*0</f>
        <v>0</v>
      </c>
      <c r="J103" s="97" t="s">
        <v>96</v>
      </c>
      <c r="K103" s="81"/>
      <c r="L103" s="22"/>
      <c r="M103" s="9">
        <f>4/4*4387/4387*150</f>
        <v>150</v>
      </c>
      <c r="N103" s="9"/>
      <c r="O103" s="9"/>
      <c r="P103" s="10">
        <f t="shared" si="13"/>
        <v>150</v>
      </c>
      <c r="Q103" s="112">
        <f>6/6*150000</f>
        <v>150000</v>
      </c>
    </row>
    <row r="104" spans="1:17" ht="12.75">
      <c r="A104" s="45" t="s">
        <v>105</v>
      </c>
      <c r="B104" s="8" t="s">
        <v>119</v>
      </c>
      <c r="C104" s="16" t="s">
        <v>176</v>
      </c>
      <c r="D104" s="17"/>
      <c r="E104" s="9">
        <f>4/4*8233/8233*6000</f>
        <v>6000</v>
      </c>
      <c r="F104" s="9"/>
      <c r="G104" s="9"/>
      <c r="H104" s="10">
        <f t="shared" si="12"/>
        <v>6000</v>
      </c>
      <c r="I104" s="83">
        <f>4/4*178500*0+6/6*505750*0+7/7*(1362550-327250+327250)</f>
        <v>1362550</v>
      </c>
      <c r="J104" s="97" t="s">
        <v>96</v>
      </c>
      <c r="K104" s="81"/>
      <c r="L104" s="22"/>
      <c r="M104" s="9">
        <f>4/4*8233/8233*6000</f>
        <v>6000</v>
      </c>
      <c r="N104" s="9"/>
      <c r="O104" s="9"/>
      <c r="P104" s="10">
        <f t="shared" si="13"/>
        <v>6000</v>
      </c>
      <c r="Q104" s="112">
        <f>6/6*1000000</f>
        <v>1000000</v>
      </c>
    </row>
    <row r="105" spans="1:17" ht="12.75">
      <c r="A105" s="45" t="s">
        <v>95</v>
      </c>
      <c r="B105" s="8" t="s">
        <v>125</v>
      </c>
      <c r="C105" s="16" t="s">
        <v>126</v>
      </c>
      <c r="D105" s="17"/>
      <c r="E105" s="9">
        <f>5/5*81/81*100</f>
        <v>100</v>
      </c>
      <c r="F105" s="9"/>
      <c r="G105" s="9"/>
      <c r="H105" s="10">
        <f aca="true" t="shared" si="14" ref="H105:H112">D105+E105</f>
        <v>100</v>
      </c>
      <c r="I105" s="83">
        <f>4/4*0</f>
        <v>0</v>
      </c>
      <c r="J105" s="97" t="s">
        <v>96</v>
      </c>
      <c r="K105" s="81"/>
      <c r="L105" s="22"/>
      <c r="M105" s="9">
        <f>5/5*81/81*100</f>
        <v>100</v>
      </c>
      <c r="N105" s="9"/>
      <c r="O105" s="9"/>
      <c r="P105" s="10">
        <f aca="true" t="shared" si="15" ref="P105:P113">L105+M105</f>
        <v>100</v>
      </c>
      <c r="Q105" s="112">
        <f>5/5*100000</f>
        <v>100000</v>
      </c>
    </row>
    <row r="106" spans="1:17" ht="12.75">
      <c r="A106" s="45" t="s">
        <v>105</v>
      </c>
      <c r="B106" s="8" t="s">
        <v>125</v>
      </c>
      <c r="C106" s="16" t="s">
        <v>177</v>
      </c>
      <c r="D106" s="17"/>
      <c r="E106" s="9">
        <f>5/5*84/84*1000</f>
        <v>1000</v>
      </c>
      <c r="F106" s="9"/>
      <c r="G106" s="9"/>
      <c r="H106" s="10">
        <f t="shared" si="14"/>
        <v>1000</v>
      </c>
      <c r="I106" s="83">
        <f>4/4*0</f>
        <v>0</v>
      </c>
      <c r="J106" s="97" t="s">
        <v>96</v>
      </c>
      <c r="K106" s="81"/>
      <c r="L106" s="22"/>
      <c r="M106" s="9">
        <f>5/5*84/84*1000</f>
        <v>1000</v>
      </c>
      <c r="N106" s="9"/>
      <c r="O106" s="9"/>
      <c r="P106" s="10">
        <f t="shared" si="15"/>
        <v>1000</v>
      </c>
      <c r="Q106" s="112">
        <f>7/7*500000+8/8*500000</f>
        <v>1000000</v>
      </c>
    </row>
    <row r="107" spans="1:17" ht="12.75">
      <c r="A107" s="45" t="s">
        <v>105</v>
      </c>
      <c r="B107" s="8" t="s">
        <v>125</v>
      </c>
      <c r="C107" s="16" t="s">
        <v>178</v>
      </c>
      <c r="D107" s="17"/>
      <c r="E107" s="9">
        <f>6/6*84/84*450</f>
        <v>450</v>
      </c>
      <c r="F107" s="9"/>
      <c r="G107" s="9"/>
      <c r="H107" s="10">
        <f t="shared" si="14"/>
        <v>450</v>
      </c>
      <c r="I107" s="83">
        <f>4/4*0</f>
        <v>0</v>
      </c>
      <c r="J107" s="97" t="s">
        <v>96</v>
      </c>
      <c r="K107" s="81"/>
      <c r="L107" s="22"/>
      <c r="M107" s="11">
        <f>6/6*450</f>
        <v>450</v>
      </c>
      <c r="N107" s="11"/>
      <c r="O107" s="11"/>
      <c r="P107" s="10">
        <f t="shared" si="15"/>
        <v>450</v>
      </c>
      <c r="Q107" s="112"/>
    </row>
    <row r="108" spans="1:17" ht="12.75">
      <c r="A108" s="45" t="s">
        <v>105</v>
      </c>
      <c r="B108" s="8" t="s">
        <v>127</v>
      </c>
      <c r="C108" s="16" t="s">
        <v>179</v>
      </c>
      <c r="D108" s="17"/>
      <c r="E108" s="9">
        <f>5/5*84/84*2000</f>
        <v>2000</v>
      </c>
      <c r="F108" s="9"/>
      <c r="G108" s="9"/>
      <c r="H108" s="10">
        <f t="shared" si="14"/>
        <v>2000</v>
      </c>
      <c r="I108" s="83">
        <f>4/4*0+7/7*855700</f>
        <v>855700</v>
      </c>
      <c r="J108" s="97" t="s">
        <v>96</v>
      </c>
      <c r="K108" s="81"/>
      <c r="L108" s="22"/>
      <c r="M108" s="9">
        <f>5/5*84/84*2000</f>
        <v>2000</v>
      </c>
      <c r="N108" s="9"/>
      <c r="O108" s="9"/>
      <c r="P108" s="10">
        <f t="shared" si="15"/>
        <v>2000</v>
      </c>
      <c r="Q108" s="112">
        <f>6/6*2000000</f>
        <v>2000000</v>
      </c>
    </row>
    <row r="109" spans="1:17" ht="12.75">
      <c r="A109" s="45" t="s">
        <v>130</v>
      </c>
      <c r="B109" s="8" t="s">
        <v>128</v>
      </c>
      <c r="C109" s="16" t="s">
        <v>129</v>
      </c>
      <c r="D109" s="17"/>
      <c r="E109" s="9">
        <f>5/5*98031/98031*68.8+7/7*68.8+9/9*68.8</f>
        <v>206.39999999999998</v>
      </c>
      <c r="F109" s="9"/>
      <c r="G109" s="9"/>
      <c r="H109" s="10">
        <f t="shared" si="14"/>
        <v>206.39999999999998</v>
      </c>
      <c r="I109" s="83">
        <f>4/4*0+6/6*83790*0+7/7*97854*0+8/8*111492*0+9/9*125634*0+10/10*136908</f>
        <v>136908</v>
      </c>
      <c r="J109" s="97" t="s">
        <v>100</v>
      </c>
      <c r="K109" s="81"/>
      <c r="L109" s="22"/>
      <c r="M109" s="9">
        <f>5/5*98031/98031*68.8+7/7*68.8+9/9*68.8</f>
        <v>206.39999999999998</v>
      </c>
      <c r="N109" s="9"/>
      <c r="O109" s="9"/>
      <c r="P109" s="10">
        <f t="shared" si="15"/>
        <v>206.39999999999998</v>
      </c>
      <c r="Q109" s="112">
        <f>5/5*68800*0+6/6*137600+9/9*68800</f>
        <v>206400</v>
      </c>
    </row>
    <row r="110" spans="1:17" ht="12.75">
      <c r="A110" s="45" t="s">
        <v>95</v>
      </c>
      <c r="B110" s="8" t="s">
        <v>128</v>
      </c>
      <c r="C110" s="16" t="s">
        <v>131</v>
      </c>
      <c r="D110" s="17"/>
      <c r="E110" s="9">
        <f>5/5*81/81*160</f>
        <v>160</v>
      </c>
      <c r="F110" s="9"/>
      <c r="G110" s="9"/>
      <c r="H110" s="10">
        <f t="shared" si="14"/>
        <v>160</v>
      </c>
      <c r="I110" s="83">
        <f>4/4*0+6/6*17030*0+9/9*40840*0+10/10*57870</f>
        <v>57870</v>
      </c>
      <c r="J110" s="97" t="s">
        <v>96</v>
      </c>
      <c r="K110" s="81"/>
      <c r="L110" s="22"/>
      <c r="M110" s="9">
        <f>5/5*81/81*160</f>
        <v>160</v>
      </c>
      <c r="N110" s="9"/>
      <c r="O110" s="9"/>
      <c r="P110" s="10">
        <f t="shared" si="15"/>
        <v>160</v>
      </c>
      <c r="Q110" s="112">
        <f>5/5*160000</f>
        <v>160000</v>
      </c>
    </row>
    <row r="111" spans="1:17" ht="12.75">
      <c r="A111" s="45" t="s">
        <v>95</v>
      </c>
      <c r="B111" s="8" t="s">
        <v>137</v>
      </c>
      <c r="C111" s="98" t="s">
        <v>138</v>
      </c>
      <c r="D111" s="17"/>
      <c r="E111" s="9">
        <f>6/6*81/81*100</f>
        <v>100</v>
      </c>
      <c r="F111" s="9"/>
      <c r="G111" s="9"/>
      <c r="H111" s="146">
        <f t="shared" si="14"/>
        <v>100</v>
      </c>
      <c r="I111" s="83">
        <f>6/6*(0+(120*0+9/9*205)+0+(184*0+9/9*2052+10/10*339)+50+(0+9/9*250+10/10*500)+0+(0+10/10*682)+(0+10/10*2940)+701.5)</f>
        <v>7719.5</v>
      </c>
      <c r="J111" s="97" t="s">
        <v>96</v>
      </c>
      <c r="K111" s="81"/>
      <c r="L111" s="22"/>
      <c r="M111" s="9">
        <f>6/6*81/81*100</f>
        <v>100</v>
      </c>
      <c r="N111" s="9"/>
      <c r="O111" s="9"/>
      <c r="P111" s="10">
        <f t="shared" si="15"/>
        <v>100</v>
      </c>
      <c r="Q111" s="112">
        <f>6/6*100000</f>
        <v>100000</v>
      </c>
    </row>
    <row r="112" spans="1:17" ht="12.75">
      <c r="A112" s="45" t="s">
        <v>139</v>
      </c>
      <c r="B112" s="8" t="s">
        <v>137</v>
      </c>
      <c r="C112" s="98" t="s">
        <v>138</v>
      </c>
      <c r="D112" s="17"/>
      <c r="E112" s="9">
        <f>6/6*98064/98064*49</f>
        <v>49</v>
      </c>
      <c r="F112" s="9"/>
      <c r="G112" s="9"/>
      <c r="H112" s="146">
        <f t="shared" si="14"/>
        <v>49</v>
      </c>
      <c r="I112" s="83">
        <f>6/6*0+10/10*49000</f>
        <v>49000</v>
      </c>
      <c r="J112" s="97" t="s">
        <v>100</v>
      </c>
      <c r="K112" s="81"/>
      <c r="L112" s="22"/>
      <c r="M112" s="9">
        <f>6/6*98064/98064*49</f>
        <v>49</v>
      </c>
      <c r="N112" s="9"/>
      <c r="O112" s="9"/>
      <c r="P112" s="10">
        <f t="shared" si="15"/>
        <v>49</v>
      </c>
      <c r="Q112" s="112">
        <f>6/6*49000</f>
        <v>49000</v>
      </c>
    </row>
    <row r="113" spans="1:17" ht="12.75">
      <c r="A113" s="45" t="s">
        <v>95</v>
      </c>
      <c r="B113" s="8" t="s">
        <v>141</v>
      </c>
      <c r="C113" s="98" t="s">
        <v>142</v>
      </c>
      <c r="D113" s="17"/>
      <c r="E113" s="9">
        <f>6/6*81/81*200</f>
        <v>200</v>
      </c>
      <c r="F113" s="9"/>
      <c r="G113" s="9"/>
      <c r="H113" s="146">
        <f>D113+E113</f>
        <v>200</v>
      </c>
      <c r="I113" s="83">
        <f>6/6*(11918+20208.5+150000-182126.5)+8/8*(18882+(23513.5*0+9/9*27513.5*0+10/10*28013.5)+150000)</f>
        <v>196895.5</v>
      </c>
      <c r="J113" s="97" t="s">
        <v>96</v>
      </c>
      <c r="K113" s="81"/>
      <c r="L113" s="22"/>
      <c r="M113" s="9">
        <f>6/6*81/81*200</f>
        <v>200</v>
      </c>
      <c r="N113" s="9"/>
      <c r="O113" s="9"/>
      <c r="P113" s="10">
        <f t="shared" si="15"/>
        <v>200</v>
      </c>
      <c r="Q113" s="112">
        <f>6/6*200000</f>
        <v>200000</v>
      </c>
    </row>
    <row r="114" spans="1:17" ht="12.75">
      <c r="A114" s="45" t="s">
        <v>153</v>
      </c>
      <c r="B114" s="8" t="s">
        <v>128</v>
      </c>
      <c r="C114" s="98" t="s">
        <v>180</v>
      </c>
      <c r="D114" s="17"/>
      <c r="E114" s="9">
        <f>7/7*1876.8</f>
        <v>1876.8</v>
      </c>
      <c r="F114" s="9"/>
      <c r="G114" s="9"/>
      <c r="H114" s="146">
        <f>D114+E114</f>
        <v>1876.8</v>
      </c>
      <c r="I114" s="77"/>
      <c r="J114" s="98" t="s">
        <v>180</v>
      </c>
      <c r="K114" s="81"/>
      <c r="L114" s="22"/>
      <c r="M114" s="9">
        <f>7/7*1876.8</f>
        <v>1876.8</v>
      </c>
      <c r="N114" s="9"/>
      <c r="O114" s="9"/>
      <c r="P114" s="146">
        <f>L114+M114</f>
        <v>1876.8</v>
      </c>
      <c r="Q114" s="112">
        <f>8/8*1876838.23</f>
        <v>1876838.23</v>
      </c>
    </row>
    <row r="115" spans="1:17" ht="13.5" thickBot="1">
      <c r="A115" s="72"/>
      <c r="B115" s="73"/>
      <c r="C115" s="74"/>
      <c r="D115" s="70"/>
      <c r="E115" s="71"/>
      <c r="F115" s="71"/>
      <c r="G115" s="71"/>
      <c r="H115" s="99"/>
      <c r="I115" s="100"/>
      <c r="J115" s="101"/>
      <c r="L115" s="68"/>
      <c r="M115" s="69"/>
      <c r="N115" s="69"/>
      <c r="O115" s="69"/>
      <c r="P115" s="102"/>
      <c r="Q115" s="103"/>
    </row>
    <row r="116" spans="1:17" ht="14.25" thickBot="1" thickTop="1">
      <c r="A116" s="50" t="s">
        <v>88</v>
      </c>
      <c r="B116" s="43"/>
      <c r="C116" s="65"/>
      <c r="D116" s="51">
        <f>SUM(D84:D115)</f>
        <v>0</v>
      </c>
      <c r="E116" s="51">
        <f>SUM(E84:E115)</f>
        <v>47236.100000000006</v>
      </c>
      <c r="F116" s="51"/>
      <c r="G116" s="51"/>
      <c r="H116" s="51">
        <f>SUM(H84:H115)</f>
        <v>47236.100000000006</v>
      </c>
      <c r="I116" s="52">
        <f>SUM(I84:I115)</f>
        <v>26731814.8</v>
      </c>
      <c r="J116" s="56"/>
      <c r="K116" s="57" t="s">
        <v>90</v>
      </c>
      <c r="L116" s="51">
        <f aca="true" t="shared" si="16" ref="L116:Q116">SUM(L84:L115)</f>
        <v>0</v>
      </c>
      <c r="M116" s="51">
        <f t="shared" si="16"/>
        <v>46518.200000000004</v>
      </c>
      <c r="N116" s="51"/>
      <c r="O116" s="51"/>
      <c r="P116" s="51">
        <f t="shared" si="16"/>
        <v>46518.200000000004</v>
      </c>
      <c r="Q116" s="151">
        <f t="shared" si="16"/>
        <v>37422175.23</v>
      </c>
    </row>
    <row r="117" spans="1:17" ht="14.25" thickBot="1" thickTop="1">
      <c r="A117" s="53" t="s">
        <v>89</v>
      </c>
      <c r="B117" s="54"/>
      <c r="C117" s="66"/>
      <c r="D117" s="51">
        <f>D81+D116</f>
        <v>64406</v>
      </c>
      <c r="E117" s="51">
        <f>E81+E116</f>
        <v>45165.100000000006</v>
      </c>
      <c r="F117" s="51"/>
      <c r="G117" s="51"/>
      <c r="H117" s="51">
        <f>H81+H116</f>
        <v>109571.1</v>
      </c>
      <c r="I117" s="52">
        <f>I81+I116</f>
        <v>78213557.92</v>
      </c>
      <c r="J117" s="56"/>
      <c r="K117" s="57" t="s">
        <v>91</v>
      </c>
      <c r="L117" s="51">
        <f>L81+L116</f>
        <v>64406</v>
      </c>
      <c r="M117" s="51">
        <f>M81+M116</f>
        <v>44447.200000000004</v>
      </c>
      <c r="N117" s="51"/>
      <c r="O117" s="51"/>
      <c r="P117" s="51">
        <f>P81+P116</f>
        <v>108853.20000000001</v>
      </c>
      <c r="Q117" s="151">
        <f>Q81+Q116</f>
        <v>88593895.25999999</v>
      </c>
    </row>
    <row r="118" ht="13.5" thickTop="1"/>
    <row r="119" ht="12.75"/>
    <row r="120" ht="13.5" thickBot="1"/>
    <row r="121" spans="1:17" ht="14.25" thickBot="1" thickTop="1">
      <c r="A121" s="78"/>
      <c r="B121" s="78"/>
      <c r="C121" s="78"/>
      <c r="D121" s="78"/>
      <c r="E121" s="78"/>
      <c r="F121" s="78"/>
      <c r="G121" s="78"/>
      <c r="H121" s="78"/>
      <c r="I121" s="78"/>
      <c r="J121" s="147"/>
      <c r="K121" s="148" t="s">
        <v>92</v>
      </c>
      <c r="L121" s="149">
        <f>L116-D116</f>
        <v>0</v>
      </c>
      <c r="M121" s="149">
        <f>M116-E116</f>
        <v>-717.9000000000015</v>
      </c>
      <c r="N121" s="150"/>
      <c r="O121" s="150"/>
      <c r="P121" s="55">
        <f>P116-H116</f>
        <v>-717.9000000000015</v>
      </c>
      <c r="Q121" s="151">
        <f>Q116-I116</f>
        <v>10690360.429999996</v>
      </c>
    </row>
    <row r="122" spans="1:17" ht="14.25" thickBot="1" thickTop="1">
      <c r="A122" s="78"/>
      <c r="B122" s="78"/>
      <c r="C122" s="78"/>
      <c r="D122" s="78"/>
      <c r="E122" s="78"/>
      <c r="F122" s="78"/>
      <c r="G122" s="78"/>
      <c r="H122" s="78"/>
      <c r="I122" s="78"/>
      <c r="J122" s="147"/>
      <c r="K122" s="148" t="s">
        <v>93</v>
      </c>
      <c r="L122" s="149">
        <f>L117-D117</f>
        <v>0</v>
      </c>
      <c r="M122" s="149">
        <f>M117-E117</f>
        <v>-717.9000000000015</v>
      </c>
      <c r="N122" s="150"/>
      <c r="O122" s="150"/>
      <c r="P122" s="55">
        <f>P117-H117</f>
        <v>-717.8999999999942</v>
      </c>
      <c r="Q122" s="151">
        <f>Q117-I117</f>
        <v>10380337.339999989</v>
      </c>
    </row>
    <row r="123" spans="1:17" ht="14.25" thickBot="1" thickTop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4:17" ht="13.5" thickTop="1">
      <c r="D124" s="78"/>
      <c r="E124" s="78"/>
      <c r="F124" s="78"/>
      <c r="G124" s="78"/>
      <c r="H124" s="78"/>
      <c r="I124" s="78"/>
      <c r="J124" s="78"/>
      <c r="K124" s="78"/>
      <c r="L124" s="78"/>
      <c r="P124" s="152" t="s">
        <v>149</v>
      </c>
      <c r="Q124" s="153">
        <f>5744825.99*0+9/9*8627648.56*0+10/10*10822293.34-Q122</f>
        <v>441956.0000000112</v>
      </c>
    </row>
    <row r="125" spans="4:17" ht="13.5" thickBot="1">
      <c r="D125" s="78"/>
      <c r="E125" s="78"/>
      <c r="F125" s="78"/>
      <c r="G125" s="78"/>
      <c r="H125" s="78"/>
      <c r="I125" s="78"/>
      <c r="J125" s="78"/>
      <c r="K125" s="78"/>
      <c r="L125" s="78"/>
      <c r="P125" s="154"/>
      <c r="Q125" s="155"/>
    </row>
    <row r="126" spans="1:17" ht="13.5" thickTop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1:17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1:17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</sheetData>
  <mergeCells count="6">
    <mergeCell ref="L1:Q1"/>
    <mergeCell ref="K1:K2"/>
    <mergeCell ref="J5:K5"/>
    <mergeCell ref="J6:K6"/>
    <mergeCell ref="A1:C2"/>
    <mergeCell ref="D1:I1"/>
  </mergeCells>
  <printOptions/>
  <pageMargins left="0.5905511811023623" right="0" top="0.5905511811023623" bottom="0.5905511811023623" header="0.1968503937007874" footer="0.11811023622047245"/>
  <pageSetup horizontalDpi="360" verticalDpi="360" orientation="portrait" paperSize="9" scale="73" r:id="rId1"/>
  <headerFooter alignWithMargins="0">
    <oddHeader>&amp;LRozpočet schvál - upravený -  skutečnost 31.10.2007</oddHeader>
    <oddFooter>&amp;LVyhotovila: M.Tišlová, ved. OE ÚMČ&amp;C &amp;R&amp;"Arial CE,tučné kurzíva"&amp;P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tislovamar</cp:lastModifiedBy>
  <cp:lastPrinted>2008-01-02T09:26:05Z</cp:lastPrinted>
  <dcterms:created xsi:type="dcterms:W3CDTF">2007-03-15T14:02:07Z</dcterms:created>
  <dcterms:modified xsi:type="dcterms:W3CDTF">2008-01-02T09:26:55Z</dcterms:modified>
  <cp:category/>
  <cp:version/>
  <cp:contentType/>
  <cp:contentStatus/>
</cp:coreProperties>
</file>