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3635" windowHeight="65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<sst xmlns="http://schemas.openxmlformats.org/spreadsheetml/2006/main" count="87" uniqueCount="73">
  <si>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</si>
  <si>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</si>
  <si>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</si>
  <si>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</si>
  <si>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</si>
  <si>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</si>
  <si>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</si>
  <si>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</si>
  <si>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</si>
  <si>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</si>
  <si>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</si>
  <si>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</si>
  <si>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06                       KULTURA  A  SPORT</t>
  </si>
  <si>
    <t>05                                SOC. A  ZDRAV.</t>
  </si>
  <si>
    <t>04                                Š K O L S T V Í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</si>
  <si>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</si>
  <si>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</si>
  <si>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</si>
  <si>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</si>
  <si>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</si>
  <si>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</si>
  <si>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07                                  B E Z P E Č N O S T</t>
  </si>
  <si>
    <t>5512 dobrov.hasiči</t>
  </si>
  <si>
    <t>08      HOSPODÁŘSTVÍ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</si>
  <si>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</si>
  <si>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</si>
  <si>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</si>
  <si>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</si>
  <si>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</si>
  <si>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</si>
  <si>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</si>
  <si>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</si>
  <si>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</si>
  <si>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</si>
  <si>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</si>
  <si>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</si>
  <si>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</si>
  <si>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</si>
  <si>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</si>
  <si>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2343 dobýv.prostor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</si>
  <si>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</si>
  <si>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</si>
  <si>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4121 HMP dotace</t>
  </si>
  <si>
    <t>1511 daň z nemovitostí</t>
  </si>
  <si>
    <t>1361 správní poplatky</t>
  </si>
  <si>
    <t>1341-5,7,51 místní poplatky</t>
  </si>
  <si>
    <t>dotace stát:</t>
  </si>
  <si>
    <t>3636 územní rozvoj</t>
  </si>
  <si>
    <t>3745 veřejná zeleň</t>
  </si>
  <si>
    <t>3639 komun.služby</t>
  </si>
  <si>
    <t>2219 ost.zál.komun</t>
  </si>
  <si>
    <t>2212 silnice</t>
  </si>
  <si>
    <t>3539 digit.rentgen</t>
  </si>
  <si>
    <t>01                             ÚZEMNÍ  ROZVOJ</t>
  </si>
  <si>
    <t>02                             INFRASTRUKTURA</t>
  </si>
  <si>
    <t>3412 sport.zař</t>
  </si>
  <si>
    <t>4359 péče soc.péče</t>
  </si>
  <si>
    <t>03                                D O P R A V A</t>
  </si>
  <si>
    <t>4112 dotace stát:</t>
  </si>
  <si>
    <r>
      <t>221</t>
    </r>
    <r>
      <rPr>
        <sz val="7"/>
        <rFont val="Arial"/>
        <family val="2"/>
      </rPr>
      <t>2</t>
    </r>
    <r>
      <rPr>
        <sz val="7"/>
        <rFont val="Arial"/>
        <family val="0"/>
      </rPr>
      <t xml:space="preserve"> sankce</t>
    </r>
  </si>
  <si>
    <t>4351/3 SZ vybavení</t>
  </si>
  <si>
    <t>4185 za 2011</t>
  </si>
  <si>
    <t>3541 prevence</t>
  </si>
  <si>
    <t>volby</t>
  </si>
  <si>
    <t>Rozpočet 2013</t>
  </si>
  <si>
    <t>UR 2013 HMP,stát</t>
  </si>
  <si>
    <t>UR 2013 ZMČ 27.3.2013</t>
  </si>
  <si>
    <t>UR 2013 ZMČ</t>
  </si>
  <si>
    <t>Upravený rozpočet 2013</t>
  </si>
  <si>
    <r>
      <t xml:space="preserve">2329 nahod </t>
    </r>
    <r>
      <rPr>
        <sz val="7"/>
        <rFont val="Arial"/>
        <family val="2"/>
      </rPr>
      <t>(z r. 2012), 2322 poj.pln</t>
    </r>
  </si>
  <si>
    <t>4121 výnos DPPO za 2012</t>
  </si>
  <si>
    <t>FV 2012</t>
  </si>
  <si>
    <r>
      <t>Úprava rozpočtu MČ Praha 16 na rok 2013</t>
    </r>
    <r>
      <rPr>
        <sz val="8"/>
        <rFont val="Arial"/>
        <family val="0"/>
      </rPr>
      <t xml:space="preserve">
Číslo zastupitelstva: 13          usn. č. 5          ze dne 27.3.2013
s c h v a l u j e
úpravu rozpočtu MČ Praha 16 na rok 2013 v oblasti příjmů a výdajů + 5.406,8 tis. Kč na celkovou výši příjmů i výdajů  90.976,8 tis. Kč.
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</si>
</sst>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i/>
      <sz val="7"/>
      <name val="Arial CE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 CE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6" fillId="0" borderId="3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/>
    </xf>
    <xf numFmtId="0" fontId="1" fillId="0" borderId="5" xfId="0" applyNumberFormat="1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/>
    </xf>
    <xf numFmtId="0" fontId="5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wrapText="1"/>
    </xf>
    <xf numFmtId="164" fontId="7" fillId="3" borderId="8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9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wrapText="1"/>
    </xf>
    <xf numFmtId="164" fontId="0" fillId="0" borderId="5" xfId="0" applyNumberFormat="1" applyFont="1" applyFill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4" fillId="3" borderId="10" xfId="0" applyNumberFormat="1" applyFont="1" applyFill="1" applyBorder="1" applyAlignment="1">
      <alignment/>
    </xf>
    <xf numFmtId="164" fontId="4" fillId="3" borderId="11" xfId="0" applyNumberFormat="1" applyFont="1" applyFill="1" applyBorder="1" applyAlignment="1">
      <alignment/>
    </xf>
    <xf numFmtId="164" fontId="4" fillId="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5" zoomScaleNormal="85" workbookViewId="0" topLeftCell="A1">
      <pane xSplit="1" ySplit="3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64" sqref="W64"/>
    </sheetView>
  </sheetViews>
  <sheetFormatPr defaultColWidth="9.140625" defaultRowHeight="12.75"/>
  <cols>
    <col min="1" max="1" width="18.7109375" style="2" customWidth="1"/>
    <col min="2" max="4" width="8.8515625" style="13" customWidth="1"/>
    <col min="5" max="8" width="8.8515625" style="13" hidden="1" customWidth="1"/>
    <col min="9" max="9" width="8.8515625" style="13" customWidth="1"/>
    <col min="10" max="10" width="3.7109375" style="12" customWidth="1"/>
    <col min="11" max="11" width="16.28125" style="14" customWidth="1"/>
    <col min="12" max="12" width="8.8515625" style="18" customWidth="1"/>
    <col min="13" max="14" width="8.8515625" style="66" customWidth="1"/>
    <col min="15" max="18" width="8.8515625" style="66" hidden="1" customWidth="1"/>
    <col min="19" max="19" width="8.8515625" style="66" customWidth="1"/>
    <col min="20" max="16384" width="9.140625" style="15" customWidth="1"/>
  </cols>
  <sheetData>
    <row r="1" spans="1:19" s="12" customFormat="1" ht="13.5" thickTop="1">
      <c r="A1" s="3"/>
      <c r="B1" s="72" t="s">
        <v>35</v>
      </c>
      <c r="C1" s="73"/>
      <c r="D1" s="73"/>
      <c r="E1" s="73"/>
      <c r="F1" s="73"/>
      <c r="G1" s="73"/>
      <c r="H1" s="73"/>
      <c r="I1" s="74"/>
      <c r="K1" s="23"/>
      <c r="L1" s="72" t="s">
        <v>36</v>
      </c>
      <c r="M1" s="73"/>
      <c r="N1" s="73"/>
      <c r="O1" s="73"/>
      <c r="P1" s="73"/>
      <c r="Q1" s="73"/>
      <c r="R1" s="73"/>
      <c r="S1" s="74"/>
    </row>
    <row r="2" spans="1:19" s="1" customFormat="1" ht="36">
      <c r="A2" s="4"/>
      <c r="B2" s="40" t="s">
        <v>64</v>
      </c>
      <c r="C2" s="40" t="s">
        <v>65</v>
      </c>
      <c r="D2" s="40" t="s">
        <v>66</v>
      </c>
      <c r="E2" s="40" t="s">
        <v>67</v>
      </c>
      <c r="F2" s="40" t="s">
        <v>67</v>
      </c>
      <c r="G2" s="40" t="s">
        <v>67</v>
      </c>
      <c r="H2" s="40" t="s">
        <v>67</v>
      </c>
      <c r="I2" s="19" t="s">
        <v>68</v>
      </c>
      <c r="J2" s="41"/>
      <c r="K2" s="24"/>
      <c r="L2" s="42" t="s">
        <v>64</v>
      </c>
      <c r="M2" s="40" t="s">
        <v>65</v>
      </c>
      <c r="N2" s="40" t="s">
        <v>66</v>
      </c>
      <c r="O2" s="40" t="s">
        <v>67</v>
      </c>
      <c r="P2" s="40" t="s">
        <v>67</v>
      </c>
      <c r="Q2" s="40" t="s">
        <v>67</v>
      </c>
      <c r="R2" s="40" t="s">
        <v>67</v>
      </c>
      <c r="S2" s="19" t="s">
        <v>68</v>
      </c>
    </row>
    <row r="3" spans="1:19" s="1" customFormat="1" ht="3" customHeight="1">
      <c r="A3" s="4"/>
      <c r="B3" s="40"/>
      <c r="C3" s="40"/>
      <c r="D3" s="40"/>
      <c r="E3" s="40"/>
      <c r="F3" s="40"/>
      <c r="G3" s="40"/>
      <c r="H3" s="40"/>
      <c r="I3" s="43"/>
      <c r="J3" s="12"/>
      <c r="K3" s="24"/>
      <c r="L3" s="42"/>
      <c r="M3" s="40"/>
      <c r="N3" s="40"/>
      <c r="O3" s="40"/>
      <c r="P3" s="40"/>
      <c r="Q3" s="40"/>
      <c r="R3" s="40"/>
      <c r="S3" s="43"/>
    </row>
    <row r="4" spans="1:19" s="16" customFormat="1" ht="12.75">
      <c r="A4" s="5" t="s">
        <v>47</v>
      </c>
      <c r="B4" s="6">
        <f>3000</f>
        <v>3000</v>
      </c>
      <c r="C4" s="6"/>
      <c r="D4" s="6"/>
      <c r="E4" s="6"/>
      <c r="F4" s="6"/>
      <c r="G4" s="6"/>
      <c r="H4" s="6"/>
      <c r="I4" s="20">
        <f>SUM(B4:H4)</f>
        <v>3000</v>
      </c>
      <c r="K4" s="25"/>
      <c r="L4" s="34"/>
      <c r="M4" s="44"/>
      <c r="N4" s="44"/>
      <c r="O4" s="44"/>
      <c r="P4" s="44"/>
      <c r="Q4" s="44"/>
      <c r="R4" s="44"/>
      <c r="S4" s="20">
        <f>SUM(L4:R4)</f>
        <v>0</v>
      </c>
    </row>
    <row r="5" spans="1:19" s="16" customFormat="1" ht="12.75">
      <c r="A5" s="5" t="s">
        <v>49</v>
      </c>
      <c r="B5" s="6"/>
      <c r="C5" s="6"/>
      <c r="D5" s="6"/>
      <c r="E5" s="6"/>
      <c r="F5" s="6"/>
      <c r="G5" s="6"/>
      <c r="H5" s="6"/>
      <c r="I5" s="20">
        <f>SUM(B5:H5)</f>
        <v>0</v>
      </c>
      <c r="K5" s="25"/>
      <c r="L5" s="34"/>
      <c r="M5" s="44"/>
      <c r="N5" s="44"/>
      <c r="O5" s="44"/>
      <c r="P5" s="44"/>
      <c r="Q5" s="44"/>
      <c r="R5" s="44"/>
      <c r="S5" s="20">
        <f>SUM(L5:R5)</f>
        <v>0</v>
      </c>
    </row>
    <row r="6" spans="1:19" s="12" customFormat="1" ht="24">
      <c r="A6" s="8" t="s">
        <v>53</v>
      </c>
      <c r="B6" s="9">
        <f aca="true" t="shared" si="0" ref="B6:I6">SUM(B4:B5)</f>
        <v>3000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22">
        <f t="shared" si="0"/>
        <v>3000</v>
      </c>
      <c r="K6" s="25"/>
      <c r="L6" s="35">
        <f aca="true" t="shared" si="1" ref="L6:S6">SUM(L4:L5)</f>
        <v>0</v>
      </c>
      <c r="M6" s="9">
        <f t="shared" si="1"/>
        <v>0</v>
      </c>
      <c r="N6" s="9">
        <f t="shared" si="1"/>
        <v>0</v>
      </c>
      <c r="O6" s="9">
        <f t="shared" si="1"/>
        <v>0</v>
      </c>
      <c r="P6" s="9">
        <f t="shared" si="1"/>
        <v>0</v>
      </c>
      <c r="Q6" s="9">
        <f t="shared" si="1"/>
        <v>0</v>
      </c>
      <c r="R6" s="9">
        <f t="shared" si="1"/>
        <v>0</v>
      </c>
      <c r="S6" s="22">
        <f t="shared" si="1"/>
        <v>0</v>
      </c>
    </row>
    <row r="7" spans="1:19" s="16" customFormat="1" ht="12.75">
      <c r="A7" s="5" t="s">
        <v>0</v>
      </c>
      <c r="B7" s="6">
        <f>100</f>
        <v>100</v>
      </c>
      <c r="C7" s="6"/>
      <c r="D7" s="6"/>
      <c r="E7" s="6"/>
      <c r="F7" s="6"/>
      <c r="G7" s="6"/>
      <c r="H7" s="6"/>
      <c r="I7" s="20">
        <f>SUM(B7:H7)</f>
        <v>100</v>
      </c>
      <c r="K7" s="25"/>
      <c r="L7" s="34"/>
      <c r="M7" s="44"/>
      <c r="N7" s="44"/>
      <c r="O7" s="44"/>
      <c r="P7" s="44"/>
      <c r="Q7" s="44"/>
      <c r="R7" s="44"/>
      <c r="S7" s="20">
        <f>SUM(L7:R7)</f>
        <v>0</v>
      </c>
    </row>
    <row r="8" spans="1:19" s="16" customFormat="1" ht="24">
      <c r="A8" s="5" t="s">
        <v>15</v>
      </c>
      <c r="B8" s="6">
        <f>2321/2321*(50+100)+3722/3722*500*0+2013/2013*621</f>
        <v>771</v>
      </c>
      <c r="C8" s="6">
        <f>81/81*1/1*4000</f>
        <v>4000</v>
      </c>
      <c r="D8" s="6">
        <f>2013/2013*621</f>
        <v>621</v>
      </c>
      <c r="E8" s="6"/>
      <c r="F8" s="6"/>
      <c r="G8" s="6"/>
      <c r="H8" s="6"/>
      <c r="I8" s="20">
        <f>SUM(B8:H8)</f>
        <v>5392</v>
      </c>
      <c r="K8" s="25"/>
      <c r="L8" s="34"/>
      <c r="M8" s="44"/>
      <c r="N8" s="44"/>
      <c r="O8" s="44"/>
      <c r="P8" s="44"/>
      <c r="Q8" s="44"/>
      <c r="R8" s="44"/>
      <c r="S8" s="20">
        <f>SUM(L8:R8)</f>
        <v>0</v>
      </c>
    </row>
    <row r="9" spans="1:19" s="16" customFormat="1" ht="12.75">
      <c r="A9" s="5" t="s">
        <v>49</v>
      </c>
      <c r="B9" s="6"/>
      <c r="C9" s="6"/>
      <c r="D9" s="6"/>
      <c r="E9" s="6"/>
      <c r="F9" s="6"/>
      <c r="G9" s="6"/>
      <c r="H9" s="6"/>
      <c r="I9" s="20">
        <f>SUM(B9:H9)</f>
        <v>0</v>
      </c>
      <c r="K9" s="25"/>
      <c r="L9" s="34"/>
      <c r="M9" s="44"/>
      <c r="N9" s="44"/>
      <c r="O9" s="44"/>
      <c r="P9" s="44"/>
      <c r="Q9" s="44"/>
      <c r="R9" s="44"/>
      <c r="S9" s="20">
        <f>SUM(L9:R9)</f>
        <v>0</v>
      </c>
    </row>
    <row r="10" spans="1:19" s="16" customFormat="1" ht="12.75">
      <c r="A10" s="5" t="s">
        <v>48</v>
      </c>
      <c r="B10" s="6">
        <f>100+100</f>
        <v>200</v>
      </c>
      <c r="C10" s="6"/>
      <c r="D10" s="6"/>
      <c r="E10" s="6"/>
      <c r="F10" s="6"/>
      <c r="G10" s="6"/>
      <c r="H10" s="6"/>
      <c r="I10" s="20">
        <f>SUM(B10:H10)</f>
        <v>200</v>
      </c>
      <c r="K10" s="25"/>
      <c r="L10" s="34"/>
      <c r="M10" s="44"/>
      <c r="N10" s="44"/>
      <c r="O10" s="44"/>
      <c r="P10" s="44"/>
      <c r="Q10" s="44"/>
      <c r="R10" s="44"/>
      <c r="S10" s="20">
        <f>SUM(L10:R10)</f>
        <v>0</v>
      </c>
    </row>
    <row r="11" spans="1:19" s="12" customFormat="1" ht="24">
      <c r="A11" s="8" t="s">
        <v>54</v>
      </c>
      <c r="B11" s="9">
        <f aca="true" t="shared" si="2" ref="B11:I11">SUM(B7:B10)</f>
        <v>1071</v>
      </c>
      <c r="C11" s="9">
        <f t="shared" si="2"/>
        <v>4000</v>
      </c>
      <c r="D11" s="9">
        <f t="shared" si="2"/>
        <v>621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22">
        <f t="shared" si="2"/>
        <v>5692</v>
      </c>
      <c r="K11" s="26"/>
      <c r="L11" s="35">
        <f aca="true" t="shared" si="3" ref="L11:S11">SUM(L7:L10)</f>
        <v>0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9">
        <f t="shared" si="3"/>
        <v>0</v>
      </c>
      <c r="Q11" s="9">
        <f t="shared" si="3"/>
        <v>0</v>
      </c>
      <c r="R11" s="9">
        <f t="shared" si="3"/>
        <v>0</v>
      </c>
      <c r="S11" s="22">
        <f t="shared" si="3"/>
        <v>0</v>
      </c>
    </row>
    <row r="12" spans="1:19" s="16" customFormat="1" ht="12.75">
      <c r="A12" s="5" t="s">
        <v>51</v>
      </c>
      <c r="B12" s="6">
        <f>500-300+400</f>
        <v>600</v>
      </c>
      <c r="C12" s="6"/>
      <c r="D12" s="6"/>
      <c r="E12" s="6"/>
      <c r="F12" s="6"/>
      <c r="G12" s="6"/>
      <c r="H12" s="6"/>
      <c r="I12" s="20">
        <f>SUM(B12:H12)</f>
        <v>600</v>
      </c>
      <c r="K12" s="27"/>
      <c r="L12" s="34"/>
      <c r="M12" s="44"/>
      <c r="N12" s="44"/>
      <c r="O12" s="44"/>
      <c r="P12" s="44"/>
      <c r="Q12" s="44"/>
      <c r="R12" s="44"/>
      <c r="S12" s="20">
        <f>SUM(L12:R12)</f>
        <v>0</v>
      </c>
    </row>
    <row r="13" spans="1:19" s="16" customFormat="1" ht="12.75">
      <c r="A13" s="5" t="s">
        <v>50</v>
      </c>
      <c r="B13" s="6">
        <f>100+2013/2013*(200+650-2013/2013*621)</f>
        <v>329</v>
      </c>
      <c r="C13" s="6"/>
      <c r="D13" s="6">
        <f>25282011/25282011*24</f>
        <v>24</v>
      </c>
      <c r="E13" s="6"/>
      <c r="F13" s="6"/>
      <c r="G13" s="6"/>
      <c r="H13" s="6"/>
      <c r="I13" s="20">
        <f>SUM(B13:H13)</f>
        <v>353</v>
      </c>
      <c r="K13" s="25"/>
      <c r="L13" s="34"/>
      <c r="M13" s="44"/>
      <c r="N13" s="44"/>
      <c r="O13" s="44"/>
      <c r="P13" s="44"/>
      <c r="Q13" s="44"/>
      <c r="R13" s="44"/>
      <c r="S13" s="20">
        <f>SUM(L13:R13)</f>
        <v>0</v>
      </c>
    </row>
    <row r="14" spans="1:19" s="12" customFormat="1" ht="24">
      <c r="A14" s="8" t="s">
        <v>57</v>
      </c>
      <c r="B14" s="9">
        <f aca="true" t="shared" si="4" ref="B14:I14">SUM(B12:B13)</f>
        <v>929</v>
      </c>
      <c r="C14" s="9">
        <f t="shared" si="4"/>
        <v>0</v>
      </c>
      <c r="D14" s="9">
        <f t="shared" si="4"/>
        <v>24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22">
        <f t="shared" si="4"/>
        <v>953</v>
      </c>
      <c r="K14" s="26"/>
      <c r="L14" s="35">
        <f aca="true" t="shared" si="5" ref="L14:S14">SUM(L12:L13)</f>
        <v>0</v>
      </c>
      <c r="M14" s="9">
        <f t="shared" si="5"/>
        <v>0</v>
      </c>
      <c r="N14" s="9">
        <f t="shared" si="5"/>
        <v>0</v>
      </c>
      <c r="O14" s="9">
        <f t="shared" si="5"/>
        <v>0</v>
      </c>
      <c r="P14" s="9">
        <f t="shared" si="5"/>
        <v>0</v>
      </c>
      <c r="Q14" s="9">
        <f t="shared" si="5"/>
        <v>0</v>
      </c>
      <c r="R14" s="9">
        <f t="shared" si="5"/>
        <v>0</v>
      </c>
      <c r="S14" s="22">
        <f t="shared" si="5"/>
        <v>0</v>
      </c>
    </row>
    <row r="15" spans="1:19" s="16" customFormat="1" ht="19.5" customHeight="1">
      <c r="A15" s="5" t="s">
        <v>1</v>
      </c>
      <c r="B15" s="45">
        <f>(1580*1.05+1-1660*0)*(1+0.015*5)+15.1*0-1700*0+5.5-1790*0+(2500+200)*0+1790*1.05+0.5-1790</f>
        <v>1880</v>
      </c>
      <c r="C15" s="46"/>
      <c r="D15" s="46">
        <f>6121/6121*1408+5171/5171*16</f>
        <v>1424</v>
      </c>
      <c r="E15" s="46"/>
      <c r="F15" s="46"/>
      <c r="G15" s="46"/>
      <c r="H15" s="46"/>
      <c r="I15" s="20">
        <f>SUM(B15:H15)</f>
        <v>3304</v>
      </c>
      <c r="K15" s="28" t="s">
        <v>46</v>
      </c>
      <c r="L15" s="36">
        <f>((250+75)*0+2012/2012*(300*0+(75+50+127+48)))*(1397*0+1375*0+2012/2012*1360.2*0*2013/2013)/1000+0.125*0+2012/2012*-0.06*0</f>
        <v>0</v>
      </c>
      <c r="M15" s="46"/>
      <c r="N15" s="46"/>
      <c r="O15" s="46"/>
      <c r="P15" s="46"/>
      <c r="Q15" s="46"/>
      <c r="R15" s="46"/>
      <c r="S15" s="20">
        <f>SUM(L15:R15)</f>
        <v>0</v>
      </c>
    </row>
    <row r="16" spans="1:19" s="16" customFormat="1" ht="12.75">
      <c r="A16" s="5" t="s">
        <v>2</v>
      </c>
      <c r="B16" s="45">
        <f>(3750*1.05+2.5-3940*0)*(1+0.015*5)+0.9*0-4000*0+4.5-4240+4240*1.05</f>
        <v>4452</v>
      </c>
      <c r="C16" s="46"/>
      <c r="D16" s="46">
        <f>5331/5331*420+6121/6121*36</f>
        <v>456</v>
      </c>
      <c r="E16" s="46"/>
      <c r="F16" s="46"/>
      <c r="G16" s="46"/>
      <c r="H16" s="46"/>
      <c r="I16" s="20">
        <f>SUM(B16:H16)</f>
        <v>4908</v>
      </c>
      <c r="K16" s="28" t="s">
        <v>46</v>
      </c>
      <c r="L16" s="36">
        <f>(537*0+2012/2012*(617*0+619))*(1397*0+1375*0+2012/2012*1360.2*0*2013/2013)/1000-0.375*0-0.2434*0+2012/2012*0.0362*0</f>
        <v>0</v>
      </c>
      <c r="M16" s="46"/>
      <c r="N16" s="46"/>
      <c r="O16" s="46"/>
      <c r="P16" s="46"/>
      <c r="Q16" s="46"/>
      <c r="R16" s="46"/>
      <c r="S16" s="20">
        <f>SUM(L16:R16)</f>
        <v>0</v>
      </c>
    </row>
    <row r="17" spans="1:19" s="16" customFormat="1" ht="12.75">
      <c r="A17" s="5" t="s">
        <v>3</v>
      </c>
      <c r="B17" s="45">
        <f>(1050*1.05-2.5-1100*0)*(1+0.015*5)+3.5*0-1120*0+7.5-1190+1190*1.05+0.5</f>
        <v>1250</v>
      </c>
      <c r="C17" s="46"/>
      <c r="D17" s="46"/>
      <c r="E17" s="46"/>
      <c r="F17" s="46"/>
      <c r="G17" s="46"/>
      <c r="H17" s="46"/>
      <c r="I17" s="20">
        <f>SUM(B17:H17)</f>
        <v>1250</v>
      </c>
      <c r="K17" s="29"/>
      <c r="L17" s="34"/>
      <c r="M17" s="44"/>
      <c r="N17" s="44"/>
      <c r="O17" s="44"/>
      <c r="P17" s="44"/>
      <c r="Q17" s="44"/>
      <c r="R17" s="44"/>
      <c r="S17" s="20">
        <f>SUM(L17:R17)</f>
        <v>0</v>
      </c>
    </row>
    <row r="18" spans="1:19" s="16" customFormat="1" ht="12.75" hidden="1">
      <c r="A18" s="5" t="s">
        <v>4</v>
      </c>
      <c r="B18" s="47"/>
      <c r="C18" s="47"/>
      <c r="D18" s="47"/>
      <c r="E18" s="47"/>
      <c r="F18" s="47"/>
      <c r="G18" s="47"/>
      <c r="H18" s="47"/>
      <c r="I18" s="20">
        <f>SUM(B18:H18)</f>
        <v>0</v>
      </c>
      <c r="K18" s="25"/>
      <c r="L18" s="34"/>
      <c r="M18" s="48"/>
      <c r="N18" s="48"/>
      <c r="O18" s="48"/>
      <c r="P18" s="48"/>
      <c r="Q18" s="48"/>
      <c r="R18" s="48"/>
      <c r="S18" s="20">
        <f>SUM(L18:R18)</f>
        <v>0</v>
      </c>
    </row>
    <row r="19" spans="1:19" s="12" customFormat="1" ht="24">
      <c r="A19" s="8" t="s">
        <v>14</v>
      </c>
      <c r="B19" s="49">
        <f aca="true" t="shared" si="6" ref="B19:I19">SUM(B15:B18)</f>
        <v>7582</v>
      </c>
      <c r="C19" s="49">
        <f t="shared" si="6"/>
        <v>0</v>
      </c>
      <c r="D19" s="49">
        <f t="shared" si="6"/>
        <v>1880</v>
      </c>
      <c r="E19" s="49">
        <f t="shared" si="6"/>
        <v>0</v>
      </c>
      <c r="F19" s="49">
        <f t="shared" si="6"/>
        <v>0</v>
      </c>
      <c r="G19" s="49">
        <f t="shared" si="6"/>
        <v>0</v>
      </c>
      <c r="H19" s="49">
        <f t="shared" si="6"/>
        <v>0</v>
      </c>
      <c r="I19" s="50">
        <f t="shared" si="6"/>
        <v>9462</v>
      </c>
      <c r="K19" s="26"/>
      <c r="L19" s="35">
        <f aca="true" t="shared" si="7" ref="L19:S19">SUM(L15:L18)</f>
        <v>0</v>
      </c>
      <c r="M19" s="49">
        <f t="shared" si="7"/>
        <v>0</v>
      </c>
      <c r="N19" s="49">
        <f t="shared" si="7"/>
        <v>0</v>
      </c>
      <c r="O19" s="49">
        <f t="shared" si="7"/>
        <v>0</v>
      </c>
      <c r="P19" s="49">
        <f t="shared" si="7"/>
        <v>0</v>
      </c>
      <c r="Q19" s="49">
        <f t="shared" si="7"/>
        <v>0</v>
      </c>
      <c r="R19" s="49">
        <f t="shared" si="7"/>
        <v>0</v>
      </c>
      <c r="S19" s="50">
        <f t="shared" si="7"/>
        <v>0</v>
      </c>
    </row>
    <row r="20" spans="1:19" s="16" customFormat="1" ht="24">
      <c r="A20" s="5" t="s">
        <v>5</v>
      </c>
      <c r="B20" s="6">
        <f>100+160</f>
        <v>260</v>
      </c>
      <c r="C20" s="6"/>
      <c r="D20" s="6"/>
      <c r="E20" s="6"/>
      <c r="F20" s="6"/>
      <c r="G20" s="6"/>
      <c r="H20" s="6"/>
      <c r="I20" s="20">
        <f aca="true" t="shared" si="8" ref="I20:I28">SUM(B20:H20)</f>
        <v>260</v>
      </c>
      <c r="K20" s="27"/>
      <c r="L20" s="34"/>
      <c r="M20" s="44"/>
      <c r="N20" s="44"/>
      <c r="O20" s="44"/>
      <c r="P20" s="44"/>
      <c r="Q20" s="44"/>
      <c r="R20" s="44"/>
      <c r="S20" s="20">
        <f aca="true" t="shared" si="9" ref="S20:S28">SUM(L20:R20)</f>
        <v>0</v>
      </c>
    </row>
    <row r="21" spans="1:19" s="16" customFormat="1" ht="12.75">
      <c r="A21" s="51" t="s">
        <v>60</v>
      </c>
      <c r="B21" s="6"/>
      <c r="C21" s="6"/>
      <c r="D21" s="6"/>
      <c r="E21" s="6"/>
      <c r="F21" s="6"/>
      <c r="G21" s="6"/>
      <c r="H21" s="6"/>
      <c r="I21" s="20">
        <f t="shared" si="8"/>
        <v>0</v>
      </c>
      <c r="K21" s="27"/>
      <c r="L21" s="34"/>
      <c r="M21" s="44"/>
      <c r="N21" s="44"/>
      <c r="O21" s="44"/>
      <c r="P21" s="44"/>
      <c r="Q21" s="44"/>
      <c r="R21" s="44"/>
      <c r="S21" s="20">
        <f t="shared" si="9"/>
        <v>0</v>
      </c>
    </row>
    <row r="22" spans="1:19" s="16" customFormat="1" ht="12.75">
      <c r="A22" s="5" t="s">
        <v>6</v>
      </c>
      <c r="B22" s="11">
        <f>12*121*(12*20)/1000+1.52</f>
        <v>350</v>
      </c>
      <c r="C22" s="46"/>
      <c r="D22" s="46"/>
      <c r="E22" s="46"/>
      <c r="F22" s="46"/>
      <c r="G22" s="46"/>
      <c r="H22" s="46"/>
      <c r="I22" s="20">
        <f t="shared" si="8"/>
        <v>350</v>
      </c>
      <c r="K22" s="29"/>
      <c r="L22" s="34"/>
      <c r="M22" s="44"/>
      <c r="N22" s="44"/>
      <c r="O22" s="44"/>
      <c r="P22" s="44"/>
      <c r="Q22" s="44"/>
      <c r="R22" s="44"/>
      <c r="S22" s="20">
        <f t="shared" si="9"/>
        <v>0</v>
      </c>
    </row>
    <row r="23" spans="1:19" s="16" customFormat="1" ht="12.75">
      <c r="A23" s="5" t="s">
        <v>7</v>
      </c>
      <c r="B23" s="11">
        <f>2446*1.1+9.4</f>
        <v>2700.0000000000005</v>
      </c>
      <c r="C23" s="46"/>
      <c r="D23" s="46"/>
      <c r="E23" s="46"/>
      <c r="F23" s="46"/>
      <c r="G23" s="46"/>
      <c r="H23" s="46"/>
      <c r="I23" s="20">
        <f t="shared" si="8"/>
        <v>2700.0000000000005</v>
      </c>
      <c r="K23" s="29"/>
      <c r="L23" s="52">
        <f>440*1.05+8-470+500</f>
        <v>500</v>
      </c>
      <c r="M23" s="53"/>
      <c r="N23" s="53"/>
      <c r="O23" s="53"/>
      <c r="P23" s="53"/>
      <c r="Q23" s="53"/>
      <c r="R23" s="53"/>
      <c r="S23" s="20">
        <f t="shared" si="9"/>
        <v>500</v>
      </c>
    </row>
    <row r="24" spans="1:19" s="16" customFormat="1" ht="12.75">
      <c r="A24" s="5" t="s">
        <v>52</v>
      </c>
      <c r="B24" s="11"/>
      <c r="C24" s="11"/>
      <c r="D24" s="11"/>
      <c r="E24" s="11"/>
      <c r="F24" s="11"/>
      <c r="G24" s="11"/>
      <c r="H24" s="11"/>
      <c r="I24" s="20">
        <f t="shared" si="8"/>
        <v>0</v>
      </c>
      <c r="K24" s="29"/>
      <c r="L24" s="36"/>
      <c r="M24" s="11"/>
      <c r="N24" s="11"/>
      <c r="O24" s="11"/>
      <c r="P24" s="11"/>
      <c r="Q24" s="11"/>
      <c r="R24" s="11"/>
      <c r="S24" s="20">
        <f t="shared" si="9"/>
        <v>0</v>
      </c>
    </row>
    <row r="25" spans="1:19" s="16" customFormat="1" ht="12.75" hidden="1">
      <c r="A25" s="5" t="s">
        <v>62</v>
      </c>
      <c r="B25" s="11"/>
      <c r="C25" s="11"/>
      <c r="D25" s="11"/>
      <c r="E25" s="11"/>
      <c r="F25" s="11"/>
      <c r="G25" s="11"/>
      <c r="H25" s="11"/>
      <c r="I25" s="20">
        <f t="shared" si="8"/>
        <v>0</v>
      </c>
      <c r="K25" s="29"/>
      <c r="L25" s="36"/>
      <c r="M25" s="11"/>
      <c r="N25" s="11"/>
      <c r="O25" s="11"/>
      <c r="P25" s="11"/>
      <c r="Q25" s="11"/>
      <c r="R25" s="11"/>
      <c r="S25" s="20">
        <f t="shared" si="9"/>
        <v>0</v>
      </c>
    </row>
    <row r="26" spans="1:19" s="16" customFormat="1" ht="12.75" hidden="1">
      <c r="A26" s="54" t="s">
        <v>61</v>
      </c>
      <c r="B26" s="11"/>
      <c r="C26" s="11"/>
      <c r="D26" s="11"/>
      <c r="E26" s="11"/>
      <c r="F26" s="11"/>
      <c r="G26" s="11"/>
      <c r="H26" s="11"/>
      <c r="I26" s="20">
        <f t="shared" si="8"/>
        <v>0</v>
      </c>
      <c r="K26" s="29"/>
      <c r="L26" s="36"/>
      <c r="M26" s="11"/>
      <c r="N26" s="11"/>
      <c r="O26" s="11"/>
      <c r="P26" s="11"/>
      <c r="Q26" s="11"/>
      <c r="R26" s="11"/>
      <c r="S26" s="20">
        <f t="shared" si="9"/>
        <v>0</v>
      </c>
    </row>
    <row r="27" spans="1:19" s="16" customFormat="1" ht="12.75">
      <c r="A27" s="5" t="s">
        <v>8</v>
      </c>
      <c r="B27" s="6">
        <v>50</v>
      </c>
      <c r="C27" s="6"/>
      <c r="D27" s="6"/>
      <c r="E27" s="6"/>
      <c r="F27" s="6"/>
      <c r="G27" s="6"/>
      <c r="H27" s="6"/>
      <c r="I27" s="20">
        <f t="shared" si="8"/>
        <v>50</v>
      </c>
      <c r="K27" s="25"/>
      <c r="L27" s="34"/>
      <c r="M27" s="44"/>
      <c r="N27" s="44"/>
      <c r="O27" s="44"/>
      <c r="P27" s="44"/>
      <c r="Q27" s="44"/>
      <c r="R27" s="44"/>
      <c r="S27" s="20">
        <f t="shared" si="9"/>
        <v>0</v>
      </c>
    </row>
    <row r="28" spans="1:19" s="16" customFormat="1" ht="12.75">
      <c r="A28" s="5" t="s">
        <v>9</v>
      </c>
      <c r="B28" s="6">
        <v>30</v>
      </c>
      <c r="C28" s="6"/>
      <c r="D28" s="6"/>
      <c r="E28" s="6"/>
      <c r="F28" s="6"/>
      <c r="G28" s="6"/>
      <c r="H28" s="6"/>
      <c r="I28" s="20">
        <f t="shared" si="8"/>
        <v>30</v>
      </c>
      <c r="K28" s="25"/>
      <c r="L28" s="34"/>
      <c r="M28" s="44"/>
      <c r="N28" s="44"/>
      <c r="O28" s="44"/>
      <c r="P28" s="44"/>
      <c r="Q28" s="44"/>
      <c r="R28" s="44"/>
      <c r="S28" s="20">
        <f t="shared" si="9"/>
        <v>0</v>
      </c>
    </row>
    <row r="29" spans="1:19" ht="12.75" hidden="1">
      <c r="A29" s="5" t="s">
        <v>10</v>
      </c>
      <c r="B29" s="6"/>
      <c r="C29" s="6"/>
      <c r="D29" s="6"/>
      <c r="E29" s="6"/>
      <c r="F29" s="6"/>
      <c r="G29" s="6"/>
      <c r="H29" s="6"/>
      <c r="I29" s="21"/>
      <c r="K29" s="25"/>
      <c r="L29" s="34"/>
      <c r="M29" s="44"/>
      <c r="N29" s="44"/>
      <c r="O29" s="44"/>
      <c r="P29" s="44"/>
      <c r="Q29" s="44"/>
      <c r="R29" s="44"/>
      <c r="S29" s="55"/>
    </row>
    <row r="30" spans="1:19" s="16" customFormat="1" ht="12.75">
      <c r="A30" s="5" t="s">
        <v>56</v>
      </c>
      <c r="B30" s="6"/>
      <c r="C30" s="6"/>
      <c r="D30" s="6"/>
      <c r="E30" s="6"/>
      <c r="F30" s="6"/>
      <c r="G30" s="6"/>
      <c r="H30" s="6"/>
      <c r="I30" s="20">
        <f>SUM(B30:H30)</f>
        <v>0</v>
      </c>
      <c r="K30" s="25"/>
      <c r="L30" s="34"/>
      <c r="M30" s="44"/>
      <c r="N30" s="44"/>
      <c r="O30" s="44"/>
      <c r="P30" s="44"/>
      <c r="Q30" s="44"/>
      <c r="R30" s="44"/>
      <c r="S30" s="20">
        <f>SUM(L30:R30)</f>
        <v>0</v>
      </c>
    </row>
    <row r="31" spans="1:19" s="16" customFormat="1" ht="12.75">
      <c r="A31" s="5" t="s">
        <v>11</v>
      </c>
      <c r="B31" s="6">
        <f>100+50</f>
        <v>150</v>
      </c>
      <c r="C31" s="6"/>
      <c r="D31" s="6"/>
      <c r="E31" s="6"/>
      <c r="F31" s="6"/>
      <c r="G31" s="6"/>
      <c r="H31" s="6"/>
      <c r="I31" s="20">
        <f>SUM(B31:H31)</f>
        <v>150</v>
      </c>
      <c r="K31" s="25"/>
      <c r="L31" s="34"/>
      <c r="M31" s="44"/>
      <c r="N31" s="44"/>
      <c r="O31" s="44"/>
      <c r="P31" s="44"/>
      <c r="Q31" s="44"/>
      <c r="R31" s="44"/>
      <c r="S31" s="20">
        <f>SUM(L31:R31)</f>
        <v>0</v>
      </c>
    </row>
    <row r="32" spans="1:19" s="12" customFormat="1" ht="24">
      <c r="A32" s="8" t="s">
        <v>13</v>
      </c>
      <c r="B32" s="9">
        <f aca="true" t="shared" si="10" ref="B32:I32">SUM(B20:B31)</f>
        <v>3540.0000000000005</v>
      </c>
      <c r="C32" s="9">
        <f t="shared" si="10"/>
        <v>0</v>
      </c>
      <c r="D32" s="9">
        <f t="shared" si="10"/>
        <v>0</v>
      </c>
      <c r="E32" s="9">
        <f t="shared" si="10"/>
        <v>0</v>
      </c>
      <c r="F32" s="9">
        <f t="shared" si="10"/>
        <v>0</v>
      </c>
      <c r="G32" s="9">
        <f t="shared" si="10"/>
        <v>0</v>
      </c>
      <c r="H32" s="9">
        <f t="shared" si="10"/>
        <v>0</v>
      </c>
      <c r="I32" s="22">
        <f t="shared" si="10"/>
        <v>3540.0000000000005</v>
      </c>
      <c r="K32" s="26"/>
      <c r="L32" s="35">
        <f aca="true" t="shared" si="11" ref="L32:S32">SUM(L20:L31)</f>
        <v>500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>
        <f t="shared" si="11"/>
        <v>0</v>
      </c>
      <c r="Q32" s="9">
        <f t="shared" si="11"/>
        <v>0</v>
      </c>
      <c r="R32" s="9">
        <f t="shared" si="11"/>
        <v>0</v>
      </c>
      <c r="S32" s="22">
        <f t="shared" si="11"/>
        <v>500</v>
      </c>
    </row>
    <row r="33" spans="1:19" s="16" customFormat="1" ht="12.75">
      <c r="A33" s="5" t="s">
        <v>16</v>
      </c>
      <c r="B33" s="11">
        <f>860*0+746+3*81-3*35+500-1384+3/3*506+56-562+620</f>
        <v>620</v>
      </c>
      <c r="C33" s="46"/>
      <c r="D33" s="46"/>
      <c r="E33" s="46"/>
      <c r="F33" s="46"/>
      <c r="G33" s="46"/>
      <c r="H33" s="46"/>
      <c r="I33" s="20">
        <f aca="true" t="shared" si="12" ref="I33:I38">SUM(B33:H33)</f>
        <v>620</v>
      </c>
      <c r="K33" s="29"/>
      <c r="L33" s="34"/>
      <c r="M33" s="44"/>
      <c r="N33" s="44"/>
      <c r="O33" s="44"/>
      <c r="P33" s="44"/>
      <c r="Q33" s="44"/>
      <c r="R33" s="44"/>
      <c r="S33" s="20">
        <f aca="true" t="shared" si="13" ref="S33:S38">SUM(L33:R33)</f>
        <v>0</v>
      </c>
    </row>
    <row r="34" spans="1:19" s="16" customFormat="1" ht="12.75">
      <c r="A34" s="5" t="s">
        <v>17</v>
      </c>
      <c r="B34" s="11">
        <f>1865*0+1804+3*150-54-2200+2200*1.05</f>
        <v>2310</v>
      </c>
      <c r="C34" s="46">
        <f>2/2*52.6*81/81</f>
        <v>52.6</v>
      </c>
      <c r="D34" s="46"/>
      <c r="E34" s="46"/>
      <c r="F34" s="46"/>
      <c r="G34" s="46"/>
      <c r="H34" s="46"/>
      <c r="I34" s="20">
        <f t="shared" si="12"/>
        <v>2362.6</v>
      </c>
      <c r="K34" s="29"/>
      <c r="L34" s="56">
        <f>123*1.05-4.15-125+150</f>
        <v>150</v>
      </c>
      <c r="M34" s="57"/>
      <c r="N34" s="57"/>
      <c r="O34" s="57"/>
      <c r="P34" s="57"/>
      <c r="Q34" s="57"/>
      <c r="R34" s="57"/>
      <c r="S34" s="20">
        <f t="shared" si="13"/>
        <v>150</v>
      </c>
    </row>
    <row r="35" spans="1:19" s="16" customFormat="1" ht="12.75">
      <c r="A35" s="5" t="s">
        <v>18</v>
      </c>
      <c r="B35" s="11">
        <f>710*0+(1592-44/44*583)+(5500-2010/2010*1000-2011/2011*3000)-2509+2012/2012*(3/3*(1197-67)+4/4*(1675-1150)-1655)+1600</f>
        <v>1600</v>
      </c>
      <c r="C35" s="46"/>
      <c r="D35" s="46">
        <f>5164/5164*8</f>
        <v>8</v>
      </c>
      <c r="E35" s="46"/>
      <c r="F35" s="46"/>
      <c r="G35" s="46"/>
      <c r="H35" s="46"/>
      <c r="I35" s="20">
        <f t="shared" si="12"/>
        <v>1608</v>
      </c>
      <c r="K35" s="29"/>
      <c r="L35" s="56">
        <f>100*1.1-110+50</f>
        <v>50.000000000000014</v>
      </c>
      <c r="M35" s="57"/>
      <c r="N35" s="57"/>
      <c r="O35" s="57"/>
      <c r="P35" s="57"/>
      <c r="Q35" s="57"/>
      <c r="R35" s="57"/>
      <c r="S35" s="20">
        <f t="shared" si="13"/>
        <v>50.000000000000014</v>
      </c>
    </row>
    <row r="36" spans="1:19" s="16" customFormat="1" ht="12.75">
      <c r="A36" s="5" t="s">
        <v>19</v>
      </c>
      <c r="B36" s="11">
        <f>12+16</f>
        <v>28</v>
      </c>
      <c r="C36" s="46"/>
      <c r="D36" s="46"/>
      <c r="E36" s="46"/>
      <c r="F36" s="46"/>
      <c r="G36" s="46"/>
      <c r="H36" s="46"/>
      <c r="I36" s="20">
        <f t="shared" si="12"/>
        <v>28</v>
      </c>
      <c r="K36" s="29"/>
      <c r="L36" s="34"/>
      <c r="M36" s="44"/>
      <c r="N36" s="44"/>
      <c r="O36" s="44"/>
      <c r="P36" s="44"/>
      <c r="Q36" s="44"/>
      <c r="R36" s="44"/>
      <c r="S36" s="20">
        <f t="shared" si="13"/>
        <v>0</v>
      </c>
    </row>
    <row r="37" spans="1:19" s="16" customFormat="1" ht="12.75">
      <c r="A37" s="5" t="s">
        <v>20</v>
      </c>
      <c r="B37" s="6">
        <f>35+60+40+50+150-335*0</f>
        <v>335</v>
      </c>
      <c r="C37" s="6"/>
      <c r="D37" s="6"/>
      <c r="E37" s="6"/>
      <c r="F37" s="6"/>
      <c r="G37" s="6"/>
      <c r="H37" s="6"/>
      <c r="I37" s="20">
        <f t="shared" si="12"/>
        <v>335</v>
      </c>
      <c r="K37" s="29"/>
      <c r="L37" s="34"/>
      <c r="M37" s="44"/>
      <c r="N37" s="44"/>
      <c r="O37" s="44"/>
      <c r="P37" s="44"/>
      <c r="Q37" s="44"/>
      <c r="R37" s="44"/>
      <c r="S37" s="20">
        <f t="shared" si="13"/>
        <v>0</v>
      </c>
    </row>
    <row r="38" spans="1:19" s="16" customFormat="1" ht="12.75">
      <c r="A38" s="5" t="s">
        <v>55</v>
      </c>
      <c r="B38" s="6"/>
      <c r="C38" s="6"/>
      <c r="D38" s="6"/>
      <c r="E38" s="6"/>
      <c r="F38" s="6"/>
      <c r="G38" s="6"/>
      <c r="H38" s="6"/>
      <c r="I38" s="20">
        <f t="shared" si="12"/>
        <v>0</v>
      </c>
      <c r="K38" s="29"/>
      <c r="L38" s="34"/>
      <c r="M38" s="44"/>
      <c r="N38" s="44"/>
      <c r="O38" s="44"/>
      <c r="P38" s="44"/>
      <c r="Q38" s="44"/>
      <c r="R38" s="44"/>
      <c r="S38" s="20">
        <f t="shared" si="13"/>
        <v>0</v>
      </c>
    </row>
    <row r="39" spans="1:19" ht="12.75" hidden="1">
      <c r="A39" s="5" t="s">
        <v>0</v>
      </c>
      <c r="B39" s="6"/>
      <c r="C39" s="6"/>
      <c r="D39" s="6"/>
      <c r="E39" s="6"/>
      <c r="F39" s="6"/>
      <c r="G39" s="6"/>
      <c r="H39" s="6"/>
      <c r="I39" s="21"/>
      <c r="K39" s="25"/>
      <c r="L39" s="34"/>
      <c r="M39" s="44"/>
      <c r="N39" s="44"/>
      <c r="O39" s="44"/>
      <c r="P39" s="44"/>
      <c r="Q39" s="44"/>
      <c r="R39" s="44"/>
      <c r="S39" s="55"/>
    </row>
    <row r="40" spans="1:19" s="12" customFormat="1" ht="24">
      <c r="A40" s="8" t="s">
        <v>12</v>
      </c>
      <c r="B40" s="9">
        <f aca="true" t="shared" si="14" ref="B40:I40">SUM(B33:B39)</f>
        <v>4893</v>
      </c>
      <c r="C40" s="9">
        <f t="shared" si="14"/>
        <v>52.6</v>
      </c>
      <c r="D40" s="9">
        <f t="shared" si="14"/>
        <v>8</v>
      </c>
      <c r="E40" s="9">
        <f t="shared" si="14"/>
        <v>0</v>
      </c>
      <c r="F40" s="9">
        <f t="shared" si="14"/>
        <v>0</v>
      </c>
      <c r="G40" s="9">
        <f t="shared" si="14"/>
        <v>0</v>
      </c>
      <c r="H40" s="9">
        <f t="shared" si="14"/>
        <v>0</v>
      </c>
      <c r="I40" s="22">
        <f t="shared" si="14"/>
        <v>4953.6</v>
      </c>
      <c r="K40" s="26"/>
      <c r="L40" s="35">
        <f aca="true" t="shared" si="15" ref="L40:S40">SUM(L33:L39)</f>
        <v>200</v>
      </c>
      <c r="M40" s="9">
        <f t="shared" si="15"/>
        <v>0</v>
      </c>
      <c r="N40" s="9">
        <f t="shared" si="15"/>
        <v>0</v>
      </c>
      <c r="O40" s="9">
        <f t="shared" si="15"/>
        <v>0</v>
      </c>
      <c r="P40" s="9">
        <f t="shared" si="15"/>
        <v>0</v>
      </c>
      <c r="Q40" s="9">
        <f t="shared" si="15"/>
        <v>0</v>
      </c>
      <c r="R40" s="9">
        <f t="shared" si="15"/>
        <v>0</v>
      </c>
      <c r="S40" s="22">
        <f t="shared" si="15"/>
        <v>200</v>
      </c>
    </row>
    <row r="41" spans="1:19" s="16" customFormat="1" ht="12.75">
      <c r="A41" s="5" t="s">
        <v>22</v>
      </c>
      <c r="B41" s="6">
        <v>350</v>
      </c>
      <c r="C41" s="6"/>
      <c r="D41" s="6"/>
      <c r="E41" s="6"/>
      <c r="F41" s="6"/>
      <c r="G41" s="6"/>
      <c r="H41" s="6"/>
      <c r="I41" s="20">
        <f>SUM(B41:H41)</f>
        <v>350</v>
      </c>
      <c r="K41" s="25"/>
      <c r="L41" s="34"/>
      <c r="M41" s="44"/>
      <c r="N41" s="44"/>
      <c r="O41" s="44"/>
      <c r="P41" s="44"/>
      <c r="Q41" s="44"/>
      <c r="R41" s="44"/>
      <c r="S41" s="20">
        <f>SUM(L41:R41)</f>
        <v>0</v>
      </c>
    </row>
    <row r="42" spans="1:19" ht="12.75" hidden="1">
      <c r="A42" s="5"/>
      <c r="B42" s="6"/>
      <c r="C42" s="6"/>
      <c r="D42" s="6"/>
      <c r="E42" s="6"/>
      <c r="F42" s="6"/>
      <c r="G42" s="6"/>
      <c r="H42" s="6"/>
      <c r="I42" s="21"/>
      <c r="K42" s="25"/>
      <c r="L42" s="34"/>
      <c r="M42" s="44"/>
      <c r="N42" s="44"/>
      <c r="O42" s="44"/>
      <c r="P42" s="44"/>
      <c r="Q42" s="44"/>
      <c r="R42" s="44"/>
      <c r="S42" s="55"/>
    </row>
    <row r="43" spans="1:19" s="12" customFormat="1" ht="24">
      <c r="A43" s="8" t="s">
        <v>21</v>
      </c>
      <c r="B43" s="9">
        <f aca="true" t="shared" si="16" ref="B43:I43">SUM(B41:B42)</f>
        <v>350</v>
      </c>
      <c r="C43" s="9">
        <f t="shared" si="16"/>
        <v>0</v>
      </c>
      <c r="D43" s="9">
        <f t="shared" si="16"/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22">
        <f t="shared" si="16"/>
        <v>350</v>
      </c>
      <c r="K43" s="26"/>
      <c r="L43" s="35">
        <f aca="true" t="shared" si="17" ref="L43:S43">SUM(L41:L42)</f>
        <v>0</v>
      </c>
      <c r="M43" s="9">
        <f t="shared" si="17"/>
        <v>0</v>
      </c>
      <c r="N43" s="9">
        <f t="shared" si="17"/>
        <v>0</v>
      </c>
      <c r="O43" s="9">
        <f t="shared" si="17"/>
        <v>0</v>
      </c>
      <c r="P43" s="9">
        <f t="shared" si="17"/>
        <v>0</v>
      </c>
      <c r="Q43" s="9">
        <f t="shared" si="17"/>
        <v>0</v>
      </c>
      <c r="R43" s="9">
        <f t="shared" si="17"/>
        <v>0</v>
      </c>
      <c r="S43" s="22">
        <f t="shared" si="17"/>
        <v>0</v>
      </c>
    </row>
    <row r="44" spans="1:19" s="16" customFormat="1" ht="19.5" customHeight="1">
      <c r="A44" s="5" t="s">
        <v>24</v>
      </c>
      <c r="B44" s="11">
        <f>(5000-2000-3000)+2012/2012*5000*0+2013/2013*((10000-5000)+500)</f>
        <v>5500</v>
      </c>
      <c r="C44" s="46"/>
      <c r="D44" s="46"/>
      <c r="E44" s="46"/>
      <c r="F44" s="46"/>
      <c r="G44" s="46"/>
      <c r="H44" s="46"/>
      <c r="I44" s="20">
        <f>SUM(B44:H44)</f>
        <v>5500</v>
      </c>
      <c r="K44" s="29"/>
      <c r="L44" s="52">
        <f>10000*0+(1350*12-16200)*0+(87694-66438)-21256/2+1372-12000</f>
        <v>0</v>
      </c>
      <c r="M44" s="53"/>
      <c r="N44" s="53"/>
      <c r="O44" s="53"/>
      <c r="P44" s="53"/>
      <c r="Q44" s="53"/>
      <c r="R44" s="53"/>
      <c r="S44" s="20">
        <f>SUM(L44:R44)</f>
        <v>0</v>
      </c>
    </row>
    <row r="45" spans="1:19" s="16" customFormat="1" ht="12.75">
      <c r="A45" s="5" t="s">
        <v>25</v>
      </c>
      <c r="B45" s="11">
        <f>(6000*0+6300)*(1.05*0+1.1*0+1.15)-315*0-630*0+55-1000*0-7300*0</f>
        <v>7299.999999999999</v>
      </c>
      <c r="C45" s="46"/>
      <c r="D45" s="46"/>
      <c r="E45" s="46"/>
      <c r="F45" s="46"/>
      <c r="G45" s="46"/>
      <c r="H45" s="46"/>
      <c r="I45" s="20">
        <f>SUM(B45:H45)</f>
        <v>7299.999999999999</v>
      </c>
      <c r="K45" s="29"/>
      <c r="L45" s="34"/>
      <c r="M45" s="44"/>
      <c r="N45" s="44"/>
      <c r="O45" s="44"/>
      <c r="P45" s="44"/>
      <c r="Q45" s="44"/>
      <c r="R45" s="44"/>
      <c r="S45" s="20">
        <f>SUM(L45:R45)</f>
        <v>0</v>
      </c>
    </row>
    <row r="46" spans="1:19" s="12" customFormat="1" ht="24">
      <c r="A46" s="8" t="s">
        <v>23</v>
      </c>
      <c r="B46" s="9">
        <f>SUM(B44:B45)</f>
        <v>12800</v>
      </c>
      <c r="C46" s="9">
        <f>SUM(C44:C45)</f>
        <v>0</v>
      </c>
      <c r="D46" s="9">
        <f aca="true" t="shared" si="18" ref="D46:I46">SUM(D44:D45)</f>
        <v>0</v>
      </c>
      <c r="E46" s="9">
        <f t="shared" si="18"/>
        <v>0</v>
      </c>
      <c r="F46" s="9">
        <f t="shared" si="18"/>
        <v>0</v>
      </c>
      <c r="G46" s="9">
        <f t="shared" si="18"/>
        <v>0</v>
      </c>
      <c r="H46" s="9">
        <f t="shared" si="18"/>
        <v>0</v>
      </c>
      <c r="I46" s="22">
        <f t="shared" si="18"/>
        <v>12800</v>
      </c>
      <c r="K46" s="26"/>
      <c r="L46" s="35">
        <f aca="true" t="shared" si="19" ref="L46:S46">SUM(L44:L45)</f>
        <v>0</v>
      </c>
      <c r="M46" s="9">
        <f t="shared" si="19"/>
        <v>0</v>
      </c>
      <c r="N46" s="9">
        <f t="shared" si="19"/>
        <v>0</v>
      </c>
      <c r="O46" s="9">
        <f t="shared" si="19"/>
        <v>0</v>
      </c>
      <c r="P46" s="9">
        <f t="shared" si="19"/>
        <v>0</v>
      </c>
      <c r="Q46" s="9">
        <f t="shared" si="19"/>
        <v>0</v>
      </c>
      <c r="R46" s="9">
        <f t="shared" si="19"/>
        <v>0</v>
      </c>
      <c r="S46" s="22">
        <f t="shared" si="19"/>
        <v>0</v>
      </c>
    </row>
    <row r="47" spans="1:19" s="16" customFormat="1" ht="12.75">
      <c r="A47" s="5" t="s">
        <v>27</v>
      </c>
      <c r="B47" s="11">
        <f>2276*1.025+0.1-2333+175*12*(1.09-0.09)+50+150-2300*0</f>
        <v>2299.9999999999995</v>
      </c>
      <c r="C47" s="46"/>
      <c r="D47" s="46">
        <f>6118/6118*40</f>
        <v>40</v>
      </c>
      <c r="E47" s="46"/>
      <c r="F47" s="46"/>
      <c r="G47" s="46"/>
      <c r="H47" s="46"/>
      <c r="I47" s="20">
        <f aca="true" t="shared" si="20" ref="I47:I54">SUM(B47:H47)</f>
        <v>2339.9999999999995</v>
      </c>
      <c r="K47" s="30" t="s">
        <v>38</v>
      </c>
      <c r="L47" s="34">
        <f>100</f>
        <v>100</v>
      </c>
      <c r="M47" s="44"/>
      <c r="N47" s="44"/>
      <c r="O47" s="44"/>
      <c r="P47" s="44"/>
      <c r="Q47" s="44"/>
      <c r="R47" s="44"/>
      <c r="S47" s="20">
        <f aca="true" t="shared" si="21" ref="S47:S54">SUM(L47:R47)</f>
        <v>100</v>
      </c>
    </row>
    <row r="48" spans="1:19" s="16" customFormat="1" ht="12.75">
      <c r="A48" s="5" t="s">
        <v>28</v>
      </c>
      <c r="B48" s="17">
        <f>2011/2011*(48725*1.025-43.125-49900)+2012/2012*(47914*1.015-32.7)-98116/98116*(12*((24.79+24.01+21.37+22.09+20.09)-0.35-112*0-1344*0)*(1+0.09+0.25)+0.05+1801*0-732/732*210/2*0-1)-46800+(1/1*(899+200)+2/2*(552-92))+3/3*(41901-835+377-712+99-308+36-4068)+4/4*(7471+94+44-343+3000*0+1000*0+90+2000*0-1500)+5/5*111+6/6*152+7/7*32+10/10*(6059-1571)-48688+2013/2013*(85700-40632-130)</f>
        <v>44937.999999999985</v>
      </c>
      <c r="C48" s="46"/>
      <c r="D48" s="46">
        <f>5173/5173*8+5169/5169*(904/904*-1000+903/903*-535)</f>
        <v>-1527</v>
      </c>
      <c r="E48" s="46"/>
      <c r="F48" s="46"/>
      <c r="G48" s="46"/>
      <c r="H48" s="46"/>
      <c r="I48" s="20">
        <f t="shared" si="20"/>
        <v>43410.999999999985</v>
      </c>
      <c r="K48" s="31" t="s">
        <v>58</v>
      </c>
      <c r="L48" s="36">
        <f>18478*0+2011/2011*16653*0+2012/2012*(15758+(1250*0+408+842))*0+2013/2013*(15772-0-0)-L15-L16</f>
        <v>15772</v>
      </c>
      <c r="M48" s="46">
        <f>1/1*261.2</f>
        <v>261.2</v>
      </c>
      <c r="N48" s="46"/>
      <c r="O48" s="46"/>
      <c r="P48" s="46"/>
      <c r="Q48" s="46"/>
      <c r="R48" s="46"/>
      <c r="S48" s="20">
        <f t="shared" si="21"/>
        <v>16033.2</v>
      </c>
    </row>
    <row r="49" spans="1:19" s="16" customFormat="1" ht="12.75">
      <c r="A49" s="5"/>
      <c r="B49" s="17"/>
      <c r="C49" s="46"/>
      <c r="D49" s="46"/>
      <c r="E49" s="46"/>
      <c r="F49" s="46"/>
      <c r="G49" s="46"/>
      <c r="H49" s="46"/>
      <c r="I49" s="20">
        <f t="shared" si="20"/>
        <v>0</v>
      </c>
      <c r="K49" s="31"/>
      <c r="L49" s="36"/>
      <c r="M49" s="46"/>
      <c r="N49" s="46"/>
      <c r="O49" s="46"/>
      <c r="P49" s="46"/>
      <c r="Q49" s="46"/>
      <c r="R49" s="46"/>
      <c r="S49" s="20">
        <f t="shared" si="21"/>
        <v>0</v>
      </c>
    </row>
    <row r="50" spans="1:19" s="16" customFormat="1" ht="10.5" customHeight="1">
      <c r="A50" s="7" t="s">
        <v>29</v>
      </c>
      <c r="B50" s="6">
        <f>583-62+523+262/2-1175*0</f>
        <v>1175</v>
      </c>
      <c r="C50" s="6"/>
      <c r="D50" s="6"/>
      <c r="E50" s="6"/>
      <c r="F50" s="6"/>
      <c r="G50" s="6"/>
      <c r="H50" s="6"/>
      <c r="I50" s="20">
        <f t="shared" si="20"/>
        <v>1175</v>
      </c>
      <c r="K50" s="27" t="s">
        <v>37</v>
      </c>
      <c r="L50" s="34"/>
      <c r="M50" s="44"/>
      <c r="N50" s="44"/>
      <c r="O50" s="44"/>
      <c r="P50" s="44"/>
      <c r="Q50" s="44"/>
      <c r="R50" s="44"/>
      <c r="S50" s="20">
        <f t="shared" si="21"/>
        <v>0</v>
      </c>
    </row>
    <row r="51" spans="1:19" s="16" customFormat="1" ht="12.75">
      <c r="A51" s="5" t="s">
        <v>30</v>
      </c>
      <c r="B51" s="6">
        <f>(3113/3113*(5000-3500)+6171/6171*((4000-3612/3612*B44)+2000-2500))*0+2012/2012*(3000+1000+2000-6000)+2013/2013*(1500)</f>
        <v>1500</v>
      </c>
      <c r="C51" s="6"/>
      <c r="D51" s="6"/>
      <c r="E51" s="6"/>
      <c r="F51" s="6"/>
      <c r="G51" s="6"/>
      <c r="H51" s="6"/>
      <c r="I51" s="20">
        <f t="shared" si="20"/>
        <v>1500</v>
      </c>
      <c r="K51" s="25" t="s">
        <v>59</v>
      </c>
      <c r="L51" s="34">
        <f>300*0+2012/2012*500</f>
        <v>500</v>
      </c>
      <c r="M51" s="44"/>
      <c r="N51" s="44"/>
      <c r="O51" s="44"/>
      <c r="P51" s="44"/>
      <c r="Q51" s="44"/>
      <c r="R51" s="44"/>
      <c r="S51" s="20">
        <f t="shared" si="21"/>
        <v>500</v>
      </c>
    </row>
    <row r="52" spans="1:19" s="16" customFormat="1" ht="12.75">
      <c r="A52" s="5" t="s">
        <v>31</v>
      </c>
      <c r="B52" s="6">
        <f>150*0+400</f>
        <v>400</v>
      </c>
      <c r="C52" s="6"/>
      <c r="D52" s="6">
        <f>6112/6112*241212/241212*(30+17)</f>
        <v>47</v>
      </c>
      <c r="E52" s="6"/>
      <c r="F52" s="6"/>
      <c r="G52" s="6"/>
      <c r="H52" s="6"/>
      <c r="I52" s="20">
        <f t="shared" si="20"/>
        <v>447</v>
      </c>
      <c r="K52" s="25" t="s">
        <v>40</v>
      </c>
      <c r="L52" s="34"/>
      <c r="M52" s="44"/>
      <c r="N52" s="44">
        <f>1045+5</f>
        <v>1050</v>
      </c>
      <c r="O52" s="44"/>
      <c r="P52" s="44"/>
      <c r="Q52" s="44"/>
      <c r="R52" s="44"/>
      <c r="S52" s="20">
        <f t="shared" si="21"/>
        <v>1050</v>
      </c>
    </row>
    <row r="53" spans="1:19" s="16" customFormat="1" ht="12.75">
      <c r="A53" s="5" t="s">
        <v>32</v>
      </c>
      <c r="B53" s="6">
        <f>16/16*(509+101)+(77+50)+352+3-1092*0</f>
        <v>1092</v>
      </c>
      <c r="C53" s="6"/>
      <c r="D53" s="6"/>
      <c r="E53" s="6"/>
      <c r="F53" s="6"/>
      <c r="G53" s="6"/>
      <c r="H53" s="6"/>
      <c r="I53" s="20">
        <f t="shared" si="20"/>
        <v>1092</v>
      </c>
      <c r="K53" s="25" t="s">
        <v>39</v>
      </c>
      <c r="L53" s="56">
        <f>160*0+2012/2012*200*0+250</f>
        <v>250</v>
      </c>
      <c r="M53" s="57"/>
      <c r="N53" s="57"/>
      <c r="O53" s="57"/>
      <c r="P53" s="57"/>
      <c r="Q53" s="57"/>
      <c r="R53" s="57"/>
      <c r="S53" s="20">
        <f t="shared" si="21"/>
        <v>250</v>
      </c>
    </row>
    <row r="54" spans="1:19" s="16" customFormat="1" ht="12.75">
      <c r="A54" s="5" t="s">
        <v>63</v>
      </c>
      <c r="B54" s="6"/>
      <c r="C54" s="6">
        <f>1/1*261.2</f>
        <v>261.2</v>
      </c>
      <c r="D54" s="6"/>
      <c r="E54" s="6"/>
      <c r="F54" s="6"/>
      <c r="G54" s="6"/>
      <c r="H54" s="6"/>
      <c r="I54" s="20">
        <f t="shared" si="20"/>
        <v>261.2</v>
      </c>
      <c r="K54" s="25" t="s">
        <v>69</v>
      </c>
      <c r="L54" s="34"/>
      <c r="M54" s="44"/>
      <c r="N54" s="44">
        <f>2322/2322*32+2329/2329*11</f>
        <v>43</v>
      </c>
      <c r="O54" s="44"/>
      <c r="P54" s="44"/>
      <c r="Q54" s="44"/>
      <c r="R54" s="44"/>
      <c r="S54" s="20">
        <f t="shared" si="21"/>
        <v>43</v>
      </c>
    </row>
    <row r="55" spans="1:19" s="12" customFormat="1" ht="24">
      <c r="A55" s="8" t="s">
        <v>26</v>
      </c>
      <c r="B55" s="9">
        <f aca="true" t="shared" si="22" ref="B55:I55">SUM(B47:B54)</f>
        <v>51404.999999999985</v>
      </c>
      <c r="C55" s="9">
        <f t="shared" si="22"/>
        <v>261.2</v>
      </c>
      <c r="D55" s="9">
        <f t="shared" si="22"/>
        <v>-1440</v>
      </c>
      <c r="E55" s="9">
        <f t="shared" si="22"/>
        <v>0</v>
      </c>
      <c r="F55" s="9">
        <f t="shared" si="22"/>
        <v>0</v>
      </c>
      <c r="G55" s="9">
        <f t="shared" si="22"/>
        <v>0</v>
      </c>
      <c r="H55" s="9">
        <f t="shared" si="22"/>
        <v>0</v>
      </c>
      <c r="I55" s="22">
        <f t="shared" si="22"/>
        <v>50226.19999999998</v>
      </c>
      <c r="K55" s="26"/>
      <c r="L55" s="35">
        <f aca="true" t="shared" si="23" ref="L55:S55">SUM(L47:L54)</f>
        <v>16622</v>
      </c>
      <c r="M55" s="9">
        <f t="shared" si="23"/>
        <v>261.2</v>
      </c>
      <c r="N55" s="9">
        <f t="shared" si="23"/>
        <v>1093</v>
      </c>
      <c r="O55" s="9">
        <f t="shared" si="23"/>
        <v>0</v>
      </c>
      <c r="P55" s="9">
        <f t="shared" si="23"/>
        <v>0</v>
      </c>
      <c r="Q55" s="9">
        <f t="shared" si="23"/>
        <v>0</v>
      </c>
      <c r="R55" s="9">
        <f t="shared" si="23"/>
        <v>0</v>
      </c>
      <c r="S55" s="22">
        <f t="shared" si="23"/>
        <v>17976.2</v>
      </c>
    </row>
    <row r="56" spans="1:19" s="16" customFormat="1" ht="12.75">
      <c r="A56" s="5"/>
      <c r="B56" s="6"/>
      <c r="C56" s="6"/>
      <c r="D56" s="6"/>
      <c r="E56" s="6"/>
      <c r="F56" s="6"/>
      <c r="G56" s="6"/>
      <c r="H56" s="6"/>
      <c r="I56" s="20">
        <f>SUM(B56:H56)</f>
        <v>0</v>
      </c>
      <c r="K56" s="25" t="s">
        <v>45</v>
      </c>
      <c r="L56" s="58">
        <f>((250+35+520+13+250+1300)+32-2400)*0+(2013/2013*(250+10+560+(8+3)+250)+(250*4-2078)*0)</f>
        <v>1081</v>
      </c>
      <c r="M56" s="59"/>
      <c r="N56" s="59"/>
      <c r="O56" s="59"/>
      <c r="P56" s="59"/>
      <c r="Q56" s="59"/>
      <c r="R56" s="59"/>
      <c r="S56" s="20">
        <f>SUM(L56:R56)</f>
        <v>1081</v>
      </c>
    </row>
    <row r="57" spans="1:19" s="16" customFormat="1" ht="12.75">
      <c r="A57" s="5"/>
      <c r="B57" s="6"/>
      <c r="C57" s="6"/>
      <c r="D57" s="6"/>
      <c r="E57" s="6"/>
      <c r="F57" s="6"/>
      <c r="G57" s="6"/>
      <c r="H57" s="6"/>
      <c r="I57" s="21"/>
      <c r="J57" s="12"/>
      <c r="K57" s="25" t="s">
        <v>44</v>
      </c>
      <c r="L57" s="34">
        <f>2700*1.035+5.5-2800+1800</f>
        <v>1800</v>
      </c>
      <c r="M57" s="44"/>
      <c r="N57" s="44"/>
      <c r="O57" s="44"/>
      <c r="P57" s="44"/>
      <c r="Q57" s="44"/>
      <c r="R57" s="44"/>
      <c r="S57" s="20">
        <f aca="true" t="shared" si="24" ref="S57:S62">SUM(L57:R57)</f>
        <v>1800</v>
      </c>
    </row>
    <row r="58" spans="1:19" s="16" customFormat="1" ht="12.75">
      <c r="A58" s="5"/>
      <c r="B58" s="6"/>
      <c r="C58" s="6"/>
      <c r="D58" s="6"/>
      <c r="E58" s="6"/>
      <c r="F58" s="6"/>
      <c r="G58" s="6"/>
      <c r="H58" s="6"/>
      <c r="I58" s="21"/>
      <c r="J58" s="12"/>
      <c r="K58" s="25" t="s">
        <v>43</v>
      </c>
      <c r="L58" s="34">
        <f>5000*0+9200*0+2012/2012*8700*2013/2013</f>
        <v>8700</v>
      </c>
      <c r="M58" s="44"/>
      <c r="N58" s="44"/>
      <c r="O58" s="44"/>
      <c r="P58" s="44"/>
      <c r="Q58" s="44"/>
      <c r="R58" s="44"/>
      <c r="S58" s="20">
        <f t="shared" si="24"/>
        <v>8700</v>
      </c>
    </row>
    <row r="59" spans="1:19" s="16" customFormat="1" ht="12.75">
      <c r="A59" s="5"/>
      <c r="B59" s="6"/>
      <c r="C59" s="6"/>
      <c r="D59" s="6"/>
      <c r="E59" s="6"/>
      <c r="F59" s="6"/>
      <c r="G59" s="6"/>
      <c r="H59" s="6"/>
      <c r="I59" s="21"/>
      <c r="J59" s="12"/>
      <c r="K59" s="25" t="s">
        <v>42</v>
      </c>
      <c r="L59" s="36">
        <f>8408*3.728472883*0+31120*0+2012/2012*(38243.68+0.32)*0+2013/2013*(37797*0+37667)</f>
        <v>37667</v>
      </c>
      <c r="M59" s="46">
        <f>81/81*(1/1*4000+2/2*52.6)</f>
        <v>4052.6</v>
      </c>
      <c r="N59" s="46"/>
      <c r="O59" s="46"/>
      <c r="P59" s="46"/>
      <c r="Q59" s="46"/>
      <c r="R59" s="46"/>
      <c r="S59" s="20">
        <f t="shared" si="24"/>
        <v>41719.6</v>
      </c>
    </row>
    <row r="60" spans="1:19" s="16" customFormat="1" ht="12.75">
      <c r="A60" s="5"/>
      <c r="B60" s="6"/>
      <c r="C60" s="6"/>
      <c r="D60" s="6"/>
      <c r="E60" s="6"/>
      <c r="F60" s="6"/>
      <c r="G60" s="6"/>
      <c r="H60" s="6"/>
      <c r="I60" s="21"/>
      <c r="J60" s="12"/>
      <c r="K60" s="25" t="s">
        <v>70</v>
      </c>
      <c r="L60" s="34"/>
      <c r="M60" s="44"/>
      <c r="N60" s="44"/>
      <c r="O60" s="44"/>
      <c r="P60" s="44"/>
      <c r="Q60" s="44"/>
      <c r="R60" s="44"/>
      <c r="S60" s="20">
        <f t="shared" si="24"/>
        <v>0</v>
      </c>
    </row>
    <row r="61" spans="1:19" s="16" customFormat="1" ht="12.75">
      <c r="A61" s="5"/>
      <c r="B61" s="6"/>
      <c r="C61" s="6"/>
      <c r="D61" s="6"/>
      <c r="E61" s="6"/>
      <c r="F61" s="6"/>
      <c r="G61" s="6"/>
      <c r="H61" s="6"/>
      <c r="I61" s="21"/>
      <c r="J61" s="12"/>
      <c r="K61" s="25" t="s">
        <v>41</v>
      </c>
      <c r="L61" s="36">
        <f>3000*0+21256/2*2-L44-9256*0+3000-12256+2012/2012*(3612/3612*5000+3688)-20688+(8000+1490*12*(50%*0+60%)+60*0+272-50/50*17000*0-60/60*19000*0)</f>
        <v>19000</v>
      </c>
      <c r="M61" s="46"/>
      <c r="N61" s="46"/>
      <c r="O61" s="46"/>
      <c r="P61" s="46"/>
      <c r="Q61" s="46"/>
      <c r="R61" s="46"/>
      <c r="S61" s="20">
        <f t="shared" si="24"/>
        <v>19000</v>
      </c>
    </row>
    <row r="62" spans="1:19" s="16" customFormat="1" ht="12.75">
      <c r="A62" s="5"/>
      <c r="B62" s="6"/>
      <c r="C62" s="6"/>
      <c r="D62" s="6"/>
      <c r="E62" s="6"/>
      <c r="F62" s="6"/>
      <c r="G62" s="6"/>
      <c r="H62" s="6"/>
      <c r="I62" s="21"/>
      <c r="J62" s="12"/>
      <c r="K62" s="32" t="s">
        <v>71</v>
      </c>
      <c r="L62" s="34"/>
      <c r="M62" s="44"/>
      <c r="N62" s="44"/>
      <c r="O62" s="44"/>
      <c r="P62" s="44"/>
      <c r="Q62" s="44"/>
      <c r="R62" s="44"/>
      <c r="S62" s="20">
        <f t="shared" si="24"/>
        <v>0</v>
      </c>
    </row>
    <row r="63" spans="1:19" s="12" customFormat="1" ht="24">
      <c r="A63" s="8" t="s">
        <v>33</v>
      </c>
      <c r="B63" s="9">
        <f aca="true" t="shared" si="25" ref="B63:I63">SUM(B56:B62)</f>
        <v>0</v>
      </c>
      <c r="C63" s="9">
        <f t="shared" si="25"/>
        <v>0</v>
      </c>
      <c r="D63" s="9">
        <f t="shared" si="25"/>
        <v>0</v>
      </c>
      <c r="E63" s="9">
        <f t="shared" si="25"/>
        <v>0</v>
      </c>
      <c r="F63" s="9">
        <f t="shared" si="25"/>
        <v>0</v>
      </c>
      <c r="G63" s="9">
        <f t="shared" si="25"/>
        <v>0</v>
      </c>
      <c r="H63" s="9">
        <f t="shared" si="25"/>
        <v>0</v>
      </c>
      <c r="I63" s="22">
        <f t="shared" si="25"/>
        <v>0</v>
      </c>
      <c r="K63" s="25"/>
      <c r="L63" s="35">
        <f aca="true" t="shared" si="26" ref="L63:S63">SUM(L56:L62)</f>
        <v>68248</v>
      </c>
      <c r="M63" s="9">
        <f t="shared" si="26"/>
        <v>4052.6</v>
      </c>
      <c r="N63" s="9">
        <f t="shared" si="26"/>
        <v>0</v>
      </c>
      <c r="O63" s="9">
        <f t="shared" si="26"/>
        <v>0</v>
      </c>
      <c r="P63" s="9">
        <f t="shared" si="26"/>
        <v>0</v>
      </c>
      <c r="Q63" s="9">
        <f t="shared" si="26"/>
        <v>0</v>
      </c>
      <c r="R63" s="9">
        <f t="shared" si="26"/>
        <v>0</v>
      </c>
      <c r="S63" s="22">
        <f t="shared" si="26"/>
        <v>72300.6</v>
      </c>
    </row>
    <row r="64" spans="1:19" s="16" customFormat="1" ht="12.75">
      <c r="A64" s="5"/>
      <c r="B64" s="6"/>
      <c r="C64" s="6"/>
      <c r="D64" s="6"/>
      <c r="E64" s="6"/>
      <c r="F64" s="6"/>
      <c r="G64" s="6"/>
      <c r="H64" s="6"/>
      <c r="I64" s="21"/>
      <c r="J64" s="12"/>
      <c r="K64" s="25"/>
      <c r="L64" s="60"/>
      <c r="M64" s="61"/>
      <c r="N64" s="61"/>
      <c r="O64" s="61"/>
      <c r="P64" s="61"/>
      <c r="Q64" s="61"/>
      <c r="R64" s="61"/>
      <c r="S64" s="62"/>
    </row>
    <row r="65" spans="1:19" s="12" customFormat="1" ht="13.5" thickBot="1">
      <c r="A65" s="10" t="s">
        <v>34</v>
      </c>
      <c r="B65" s="63">
        <f aca="true" t="shared" si="27" ref="B65:I65">SUM(B4:B64)/2</f>
        <v>85569.99999999999</v>
      </c>
      <c r="C65" s="63">
        <f t="shared" si="27"/>
        <v>4313.800000000001</v>
      </c>
      <c r="D65" s="63">
        <f t="shared" si="27"/>
        <v>1093</v>
      </c>
      <c r="E65" s="63">
        <f t="shared" si="27"/>
        <v>0</v>
      </c>
      <c r="F65" s="63">
        <f t="shared" si="27"/>
        <v>0</v>
      </c>
      <c r="G65" s="63">
        <f t="shared" si="27"/>
        <v>0</v>
      </c>
      <c r="H65" s="63">
        <f t="shared" si="27"/>
        <v>0</v>
      </c>
      <c r="I65" s="64">
        <f t="shared" si="27"/>
        <v>90976.79999999999</v>
      </c>
      <c r="K65" s="33"/>
      <c r="L65" s="65">
        <f aca="true" t="shared" si="28" ref="L65:S65">SUM(L4:L64)/2</f>
        <v>85570</v>
      </c>
      <c r="M65" s="63">
        <f t="shared" si="28"/>
        <v>4313.8</v>
      </c>
      <c r="N65" s="63">
        <f t="shared" si="28"/>
        <v>1093</v>
      </c>
      <c r="O65" s="63">
        <f t="shared" si="28"/>
        <v>0</v>
      </c>
      <c r="P65" s="63">
        <f t="shared" si="28"/>
        <v>0</v>
      </c>
      <c r="Q65" s="63">
        <f t="shared" si="28"/>
        <v>0</v>
      </c>
      <c r="R65" s="63">
        <f t="shared" si="28"/>
        <v>0</v>
      </c>
      <c r="S65" s="64">
        <f t="shared" si="28"/>
        <v>90976.8</v>
      </c>
    </row>
    <row r="66" spans="1:19" s="12" customFormat="1" ht="13.5" thickTop="1">
      <c r="A66" s="2"/>
      <c r="B66" s="13"/>
      <c r="C66" s="13"/>
      <c r="D66" s="37"/>
      <c r="E66" s="37"/>
      <c r="F66" s="37"/>
      <c r="G66" s="37"/>
      <c r="H66" s="37"/>
      <c r="I66" s="37"/>
      <c r="J66" s="38"/>
      <c r="K66" s="39"/>
      <c r="L66" s="37"/>
      <c r="M66" s="37"/>
      <c r="N66" s="37"/>
      <c r="O66" s="13"/>
      <c r="P66" s="13"/>
      <c r="Q66" s="13"/>
      <c r="R66" s="13"/>
      <c r="S66" s="13"/>
    </row>
    <row r="67" spans="1:19" s="38" customFormat="1" ht="60" customHeight="1">
      <c r="A67" s="75" t="s">
        <v>72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s="38" customFormat="1" ht="11.25">
      <c r="A68" s="67"/>
      <c r="B68" s="68"/>
      <c r="C68" s="68"/>
      <c r="D68" s="69"/>
      <c r="E68" s="68"/>
      <c r="F68" s="68"/>
      <c r="G68" s="68"/>
      <c r="H68" s="68"/>
      <c r="I68" s="68"/>
      <c r="J68" s="70"/>
      <c r="K68" s="39"/>
      <c r="L68" s="71"/>
      <c r="M68" s="68"/>
      <c r="N68" s="69"/>
      <c r="O68" s="37"/>
      <c r="P68" s="37"/>
      <c r="Q68" s="37"/>
      <c r="R68" s="37"/>
      <c r="S68" s="37"/>
    </row>
    <row r="69" spans="1:19" s="38" customFormat="1" ht="11.25">
      <c r="A69" s="67"/>
      <c r="B69" s="68"/>
      <c r="C69" s="68"/>
      <c r="D69" s="69"/>
      <c r="E69" s="68"/>
      <c r="F69" s="68"/>
      <c r="G69" s="68"/>
      <c r="H69" s="68"/>
      <c r="I69" s="68"/>
      <c r="J69" s="70"/>
      <c r="K69" s="39"/>
      <c r="L69" s="71"/>
      <c r="M69" s="68"/>
      <c r="N69" s="69"/>
      <c r="O69" s="37"/>
      <c r="P69" s="37"/>
      <c r="Q69" s="37"/>
      <c r="R69" s="37"/>
      <c r="S69" s="37"/>
    </row>
  </sheetData>
  <sheetProtection password="CC4F" sheet="1" objects="1" scenarios="1"/>
  <mergeCells count="3">
    <mergeCell ref="B1:I1"/>
    <mergeCell ref="L1:S1"/>
    <mergeCell ref="A67:S6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0" r:id="rId1"/>
  <headerFooter alignWithMargins="0">
    <oddHeader>&amp;L&amp;"Arial,tučné kurzíva"&amp;14Návrh úpravy rozpočtu na rok 2013&amp;R&amp;"Arial,tučné kurzíva"ZMČ 27.3.2013 příl  2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2014-01-09T21:46:41Z</cp:lastPrinted>
  <dcterms:created xsi:type="dcterms:W3CDTF">2009-11-29T19:02:18Z</dcterms:created>
  <dcterms:modified xsi:type="dcterms:W3CDTF">2014-01-09T21:47:22Z</dcterms:modified>
  <cp:category/>
  <cp:version/>
  <cp:contentType/>
  <cp:contentStatus/>
</cp:coreProperties>
</file>