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10" windowHeight="58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<sst xmlns="http://schemas.openxmlformats.org/spreadsheetml/2006/main" count="76" uniqueCount="71">
  <si>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</si>
  <si>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</si>
  <si>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</si>
  <si>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</si>
  <si>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</si>
  <si>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</si>
  <si>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</si>
  <si>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</si>
  <si>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</si>
  <si>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</si>
  <si>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</si>
  <si>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</si>
  <si>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t>06                       KULTURA  A  SPORT</t>
  </si>
  <si>
    <t>05                                SOC. A  ZDRAV.</t>
  </si>
  <si>
    <t>04                                Š K O L S T V Í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</si>
  <si>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</si>
  <si>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</si>
  <si>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</si>
  <si>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</si>
  <si>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</si>
  <si>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</si>
  <si>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07                                  B E Z P E Č N O S T</t>
  </si>
  <si>
    <t>5512 dobrov.hasiči</t>
  </si>
  <si>
    <t>08      HOSPODÁŘSTVÍ</t>
  </si>
  <si>
    <t>3612 bytové hosp.</t>
  </si>
  <si>
    <t>3639,3632 techn.sl</t>
  </si>
  <si>
    <t>09                                     VNITŘNÍ  SPRÁVA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</si>
  <si>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</si>
  <si>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</si>
  <si>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</si>
  <si>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</si>
  <si>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</si>
  <si>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</si>
  <si>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10                              FINANCOVÁNÍ</t>
  </si>
  <si>
    <t>MČ CELKEM</t>
  </si>
  <si>
    <t>V Ý D A J E</t>
  </si>
  <si>
    <t>P Ř Í J M Y</t>
  </si>
  <si>
    <t>2460 splátky půjček SFZ</t>
  </si>
  <si>
    <t>2141 úroky</t>
  </si>
  <si>
    <t>2343 dobýv.prostor</t>
  </si>
  <si>
    <r>
      <t>dary</t>
    </r>
    <r>
      <rPr>
        <sz val="7"/>
        <rFont val="Arial"/>
        <family val="2"/>
      </rPr>
      <t xml:space="preserve"> 2321 neinv 3121 inv 4129 SO</t>
    </r>
  </si>
  <si>
    <t>4131 z účtu ekon.činnosti</t>
  </si>
  <si>
    <t>4121 HMP dotace</t>
  </si>
  <si>
    <t>1511 daň z nemovitostí</t>
  </si>
  <si>
    <t>1361 správní poplatky</t>
  </si>
  <si>
    <t>1341-5,7,51 místní poplatky</t>
  </si>
  <si>
    <t>dotace stát: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</si>
  <si>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</si>
  <si>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</si>
  <si>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</si>
  <si>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</si>
  <si>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</si>
  <si>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</si>
  <si>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r>
      <t xml:space="preserve">2329 nahod </t>
    </r>
    <r>
      <rPr>
        <sz val="7"/>
        <rFont val="Arial"/>
        <family val="2"/>
      </rPr>
      <t>(z r. 2009), 2322 poj.pln</t>
    </r>
  </si>
  <si>
    <t>01                             ÚZEMNÍ  ROZVOJ</t>
  </si>
  <si>
    <t>02                             INFRASTRUKTURA</t>
  </si>
  <si>
    <t>FV 2010</t>
  </si>
  <si>
    <t>3412 sport.zař</t>
  </si>
  <si>
    <t>4359 péče soc.péče</t>
  </si>
  <si>
    <t>03                                D O P R A V A</t>
  </si>
  <si>
    <t>4112 dotace stát:</t>
  </si>
  <si>
    <r>
      <t>221</t>
    </r>
    <r>
      <rPr>
        <sz val="7"/>
        <rFont val="Arial"/>
        <family val="2"/>
      </rPr>
      <t>2</t>
    </r>
    <r>
      <rPr>
        <sz val="7"/>
        <rFont val="Arial"/>
        <family val="0"/>
      </rPr>
      <t xml:space="preserve"> sankce</t>
    </r>
  </si>
  <si>
    <t>R 2012</t>
  </si>
  <si>
    <t>Návrh úpravy ZMČ 28/03/2012</t>
  </si>
  <si>
    <t>Upravený rozpočet 03/2012</t>
  </si>
  <si>
    <t>v tom III.MŠ 2500 zatepl+200 údržba</t>
  </si>
  <si>
    <t>v tom Sídliště BD zateplení</t>
  </si>
  <si>
    <t>v tom: koup 3000 +studie 1000 +rezerva inv 2000</t>
  </si>
  <si>
    <t>4121 výnos DPPO za 2011</t>
  </si>
  <si>
    <t>SPOD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</si>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</sst>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i/>
      <sz val="7"/>
      <name val="Arial CE"/>
      <family val="2"/>
    </font>
    <font>
      <sz val="10"/>
      <color indexed="12"/>
      <name val="Arial"/>
      <family val="0"/>
    </font>
    <font>
      <sz val="7"/>
      <color indexed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164" fontId="4" fillId="3" borderId="6" xfId="0" applyNumberFormat="1" applyFont="1" applyFill="1" applyBorder="1" applyAlignment="1">
      <alignment/>
    </xf>
    <xf numFmtId="164" fontId="4" fillId="3" borderId="7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3" xfId="0" applyFont="1" applyFill="1" applyBorder="1" applyAlignment="1">
      <alignment/>
    </xf>
    <xf numFmtId="0" fontId="8" fillId="0" borderId="8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wrapText="1"/>
    </xf>
    <xf numFmtId="164" fontId="8" fillId="0" borderId="3" xfId="0" applyNumberFormat="1" applyFont="1" applyFill="1" applyBorder="1" applyAlignment="1">
      <alignment wrapText="1"/>
    </xf>
    <xf numFmtId="164" fontId="8" fillId="0" borderId="6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 wrapText="1"/>
    </xf>
    <xf numFmtId="164" fontId="10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9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9" fillId="0" borderId="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164" fontId="0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6" fillId="0" borderId="3" xfId="0" applyNumberFormat="1" applyFont="1" applyFill="1" applyBorder="1" applyAlignment="1">
      <alignment wrapText="1"/>
    </xf>
    <xf numFmtId="164" fontId="0" fillId="0" borderId="3" xfId="0" applyNumberFormat="1" applyFont="1" applyFill="1" applyBorder="1" applyAlignment="1">
      <alignment/>
    </xf>
    <xf numFmtId="164" fontId="8" fillId="3" borderId="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4" fillId="3" borderId="6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11" fillId="0" borderId="3" xfId="0" applyNumberFormat="1" applyFont="1" applyFill="1" applyBorder="1" applyAlignment="1">
      <alignment/>
    </xf>
    <xf numFmtId="0" fontId="12" fillId="0" borderId="3" xfId="0" applyNumberFormat="1" applyFont="1" applyFill="1" applyBorder="1" applyAlignment="1">
      <alignment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5" sqref="M5"/>
    </sheetView>
  </sheetViews>
  <sheetFormatPr defaultColWidth="9.140625" defaultRowHeight="12.75"/>
  <cols>
    <col min="1" max="1" width="19.8515625" style="2" customWidth="1"/>
    <col min="2" max="2" width="8.8515625" style="58" customWidth="1"/>
    <col min="3" max="3" width="10.7109375" style="58" customWidth="1"/>
    <col min="4" max="4" width="8.8515625" style="58" hidden="1" customWidth="1"/>
    <col min="5" max="5" width="8.8515625" style="59" customWidth="1"/>
    <col min="6" max="6" width="12.7109375" style="26" customWidth="1"/>
    <col min="7" max="7" width="22.421875" style="36" customWidth="1"/>
    <col min="8" max="8" width="8.8515625" style="58" customWidth="1"/>
    <col min="9" max="9" width="10.7109375" style="58" customWidth="1"/>
    <col min="10" max="10" width="8.8515625" style="59" hidden="1" customWidth="1"/>
    <col min="11" max="11" width="8.8515625" style="59" customWidth="1"/>
    <col min="12" max="16384" width="9.140625" style="45" customWidth="1"/>
  </cols>
  <sheetData>
    <row r="1" spans="1:11" s="17" customFormat="1" ht="13.5" thickTop="1">
      <c r="A1" s="3"/>
      <c r="B1" s="67" t="s">
        <v>35</v>
      </c>
      <c r="C1" s="67"/>
      <c r="D1" s="67"/>
      <c r="E1" s="67"/>
      <c r="F1" s="22"/>
      <c r="G1" s="28"/>
      <c r="H1" s="67" t="s">
        <v>36</v>
      </c>
      <c r="I1" s="67"/>
      <c r="J1" s="67"/>
      <c r="K1" s="68"/>
    </row>
    <row r="2" spans="1:11" s="1" customFormat="1" ht="36">
      <c r="A2" s="4"/>
      <c r="B2" s="39" t="s">
        <v>62</v>
      </c>
      <c r="C2" s="39" t="s">
        <v>63</v>
      </c>
      <c r="D2" s="40"/>
      <c r="E2" s="39" t="s">
        <v>64</v>
      </c>
      <c r="F2" s="41"/>
      <c r="G2" s="29"/>
      <c r="H2" s="39" t="s">
        <v>62</v>
      </c>
      <c r="I2" s="39" t="s">
        <v>63</v>
      </c>
      <c r="J2" s="40"/>
      <c r="K2" s="42" t="s">
        <v>64</v>
      </c>
    </row>
    <row r="3" spans="1:11" ht="12.75">
      <c r="A3" s="5" t="s">
        <v>47</v>
      </c>
      <c r="B3" s="6"/>
      <c r="C3" s="6"/>
      <c r="D3" s="6"/>
      <c r="E3" s="6">
        <f>SUM(B3:D3)</f>
        <v>0</v>
      </c>
      <c r="F3" s="23"/>
      <c r="G3" s="21"/>
      <c r="H3" s="43"/>
      <c r="I3" s="43"/>
      <c r="J3" s="43"/>
      <c r="K3" s="44">
        <f>SUM(H3:J3)</f>
        <v>0</v>
      </c>
    </row>
    <row r="4" spans="1:11" ht="12.75" hidden="1">
      <c r="A4" s="5"/>
      <c r="B4" s="43"/>
      <c r="C4" s="43"/>
      <c r="D4" s="43"/>
      <c r="E4" s="43"/>
      <c r="F4" s="23"/>
      <c r="G4" s="21"/>
      <c r="H4" s="43"/>
      <c r="I4" s="43"/>
      <c r="J4" s="43"/>
      <c r="K4" s="44"/>
    </row>
    <row r="5" spans="1:12" s="17" customFormat="1" ht="24">
      <c r="A5" s="10" t="s">
        <v>54</v>
      </c>
      <c r="B5" s="11">
        <f>SUM(B3:B4)</f>
        <v>0</v>
      </c>
      <c r="C5" s="11">
        <f>SUM(C3:C4)</f>
        <v>0</v>
      </c>
      <c r="D5" s="61">
        <f>SUM(D3:D4)</f>
        <v>0</v>
      </c>
      <c r="E5" s="11">
        <f>SUM(E3:E4)</f>
        <v>0</v>
      </c>
      <c r="F5" s="24"/>
      <c r="G5" s="21"/>
      <c r="H5" s="11">
        <f>SUM(H3:H4)</f>
        <v>0</v>
      </c>
      <c r="I5" s="11">
        <f>SUM(I3:I4)</f>
        <v>0</v>
      </c>
      <c r="J5" s="61">
        <f>SUM(J3:J4)</f>
        <v>0</v>
      </c>
      <c r="K5" s="12">
        <f>SUM(K3:K4)</f>
        <v>0</v>
      </c>
      <c r="L5" s="17" t="s">
        <v>70</v>
      </c>
    </row>
    <row r="6" spans="1:11" ht="12.75">
      <c r="A6" s="5" t="s">
        <v>0</v>
      </c>
      <c r="B6" s="6">
        <v>100</v>
      </c>
      <c r="C6" s="6"/>
      <c r="D6" s="6"/>
      <c r="E6" s="6">
        <f>SUM(B6:D6)</f>
        <v>100</v>
      </c>
      <c r="F6" s="23"/>
      <c r="G6" s="21"/>
      <c r="H6" s="43"/>
      <c r="I6" s="43"/>
      <c r="J6" s="43"/>
      <c r="K6" s="44">
        <f>SUM(H6:J6)</f>
        <v>0</v>
      </c>
    </row>
    <row r="7" spans="1:11" ht="24">
      <c r="A7" s="5" t="s">
        <v>15</v>
      </c>
      <c r="B7" s="43">
        <f>2321/2321*50+3722/3722*500</f>
        <v>550</v>
      </c>
      <c r="C7" s="43">
        <f>2/2*4200</f>
        <v>4200</v>
      </c>
      <c r="D7" s="43"/>
      <c r="E7" s="43">
        <f>SUM(B7:D7)</f>
        <v>4750</v>
      </c>
      <c r="F7" s="23"/>
      <c r="G7" s="21"/>
      <c r="H7" s="43"/>
      <c r="I7" s="43"/>
      <c r="J7" s="43"/>
      <c r="K7" s="44">
        <f>SUM(H7:J7)</f>
        <v>0</v>
      </c>
    </row>
    <row r="8" spans="1:11" ht="12.75">
      <c r="A8" s="5" t="s">
        <v>49</v>
      </c>
      <c r="B8" s="43"/>
      <c r="C8" s="43"/>
      <c r="D8" s="43"/>
      <c r="E8" s="43">
        <f>SUM(B8:D8)</f>
        <v>0</v>
      </c>
      <c r="F8" s="23"/>
      <c r="G8" s="21"/>
      <c r="H8" s="43"/>
      <c r="I8" s="43"/>
      <c r="J8" s="43"/>
      <c r="K8" s="44">
        <f>SUM(H8:J8)</f>
        <v>0</v>
      </c>
    </row>
    <row r="9" spans="1:11" ht="12.75">
      <c r="A9" s="5" t="s">
        <v>48</v>
      </c>
      <c r="B9" s="43">
        <v>100</v>
      </c>
      <c r="C9" s="43"/>
      <c r="D9" s="43"/>
      <c r="E9" s="43">
        <f>SUM(B9:D9)</f>
        <v>100</v>
      </c>
      <c r="F9" s="23"/>
      <c r="G9" s="21"/>
      <c r="H9" s="43"/>
      <c r="I9" s="43"/>
      <c r="J9" s="43"/>
      <c r="K9" s="44">
        <f>SUM(H9:J9)</f>
        <v>0</v>
      </c>
    </row>
    <row r="10" spans="1:11" s="17" customFormat="1" ht="24">
      <c r="A10" s="10" t="s">
        <v>55</v>
      </c>
      <c r="B10" s="11">
        <f>SUM(B6:B9)</f>
        <v>750</v>
      </c>
      <c r="C10" s="11">
        <f>SUM(C6:C9)</f>
        <v>4200</v>
      </c>
      <c r="D10" s="61">
        <f>SUM(D6:D9)</f>
        <v>0</v>
      </c>
      <c r="E10" s="11">
        <f>SUM(E6:E9)</f>
        <v>4950</v>
      </c>
      <c r="F10" s="24"/>
      <c r="G10" s="33"/>
      <c r="H10" s="11">
        <f>SUM(H6:H9)</f>
        <v>0</v>
      </c>
      <c r="I10" s="11">
        <f>SUM(I6:I9)</f>
        <v>0</v>
      </c>
      <c r="J10" s="61">
        <f>SUM(J6:J9)</f>
        <v>0</v>
      </c>
      <c r="K10" s="12">
        <f>SUM(K6:K9)</f>
        <v>0</v>
      </c>
    </row>
    <row r="11" spans="1:11" ht="12.75">
      <c r="A11" s="5" t="s">
        <v>51</v>
      </c>
      <c r="B11" s="6">
        <f>500-300</f>
        <v>200</v>
      </c>
      <c r="C11" s="6"/>
      <c r="D11" s="6"/>
      <c r="E11" s="6">
        <f>SUM(B11:D11)</f>
        <v>200</v>
      </c>
      <c r="F11" s="23"/>
      <c r="G11" s="30"/>
      <c r="H11" s="43"/>
      <c r="I11" s="43"/>
      <c r="J11" s="43"/>
      <c r="K11" s="44">
        <f>SUM(H11:J11)</f>
        <v>0</v>
      </c>
    </row>
    <row r="12" spans="1:11" ht="12.75">
      <c r="A12" s="5" t="s">
        <v>50</v>
      </c>
      <c r="B12" s="43">
        <v>100</v>
      </c>
      <c r="C12" s="43"/>
      <c r="D12" s="43"/>
      <c r="E12" s="43">
        <f>SUM(B12:D12)</f>
        <v>100</v>
      </c>
      <c r="F12" s="23"/>
      <c r="G12" s="21"/>
      <c r="H12" s="43"/>
      <c r="I12" s="43"/>
      <c r="J12" s="43"/>
      <c r="K12" s="44">
        <f>SUM(H12:J12)</f>
        <v>0</v>
      </c>
    </row>
    <row r="13" spans="1:11" s="17" customFormat="1" ht="24">
      <c r="A13" s="10" t="s">
        <v>59</v>
      </c>
      <c r="B13" s="11">
        <f>SUM(B11:B12)</f>
        <v>300</v>
      </c>
      <c r="C13" s="11">
        <f>SUM(C11:C12)</f>
        <v>0</v>
      </c>
      <c r="D13" s="61">
        <f>SUM(D11:D12)</f>
        <v>0</v>
      </c>
      <c r="E13" s="11">
        <f>SUM(E11:E12)</f>
        <v>300</v>
      </c>
      <c r="F13" s="24"/>
      <c r="G13" s="33"/>
      <c r="H13" s="11">
        <f>SUM(H11:H12)</f>
        <v>0</v>
      </c>
      <c r="I13" s="11">
        <f>SUM(I11:I12)</f>
        <v>0</v>
      </c>
      <c r="J13" s="61">
        <f>SUM(J11:J12)</f>
        <v>0</v>
      </c>
      <c r="K13" s="12">
        <f>SUM(K11:K12)</f>
        <v>0</v>
      </c>
    </row>
    <row r="14" spans="1:11" s="18" customFormat="1" ht="19.5" customHeight="1">
      <c r="A14" s="5" t="s">
        <v>1</v>
      </c>
      <c r="B14" s="16">
        <f>(1580*1.05+1-1660*0)*(1+0.015*5)+15.1*0-1700*0+5.5-1790*0+(2500+200)</f>
        <v>4490</v>
      </c>
      <c r="C14" s="8"/>
      <c r="D14" s="8"/>
      <c r="E14" s="8">
        <f>SUM(B14:D14)</f>
        <v>4490</v>
      </c>
      <c r="F14" s="46" t="s">
        <v>65</v>
      </c>
      <c r="G14" s="31" t="s">
        <v>46</v>
      </c>
      <c r="H14" s="16">
        <f>((250+75)*0+2012/2012*(300*0+(75+50+127+48)))*(1397*0+1375*0+2012/2012*1360.2)/1000+0.125*0-0.06</f>
        <v>408</v>
      </c>
      <c r="I14" s="8"/>
      <c r="J14" s="8"/>
      <c r="K14" s="9">
        <f>SUM(H14:J14)</f>
        <v>408</v>
      </c>
    </row>
    <row r="15" spans="1:11" s="18" customFormat="1" ht="12.75">
      <c r="A15" s="5" t="s">
        <v>2</v>
      </c>
      <c r="B15" s="16">
        <f>(3750*1.05+2.5-3940*0)*(1+0.015*5)+0.9*0-4000*0+4.5-4240*0</f>
        <v>4240</v>
      </c>
      <c r="C15" s="8"/>
      <c r="D15" s="8"/>
      <c r="E15" s="8">
        <f>SUM(B15:D15)</f>
        <v>4240</v>
      </c>
      <c r="F15" s="47"/>
      <c r="G15" s="31" t="s">
        <v>46</v>
      </c>
      <c r="H15" s="16">
        <f>(537*0+2012/2012*(617*0+619))*(1397*0+1375*0+2012/2012*1360.2)/1000-0.375*0-0.2434*0+0.0362</f>
        <v>842</v>
      </c>
      <c r="I15" s="8"/>
      <c r="J15" s="8"/>
      <c r="K15" s="9">
        <f>SUM(H15:J15)</f>
        <v>842</v>
      </c>
    </row>
    <row r="16" spans="1:11" ht="12.75">
      <c r="A16" s="5" t="s">
        <v>3</v>
      </c>
      <c r="B16" s="16">
        <f>(1050*1.05-2.5-1100*0)*(1+0.015*5)+3.5*0-1120*0+7.5-1190*0</f>
        <v>1190</v>
      </c>
      <c r="C16" s="8"/>
      <c r="D16" s="8"/>
      <c r="E16" s="8">
        <f>SUM(B16:D16)</f>
        <v>1190</v>
      </c>
      <c r="F16" s="47"/>
      <c r="G16" s="32"/>
      <c r="H16" s="43"/>
      <c r="I16" s="43"/>
      <c r="J16" s="43"/>
      <c r="K16" s="44">
        <f>SUM(H16:J16)</f>
        <v>0</v>
      </c>
    </row>
    <row r="17" spans="1:11" ht="12.75" hidden="1">
      <c r="A17" s="5" t="s">
        <v>4</v>
      </c>
      <c r="B17" s="43"/>
      <c r="C17" s="43"/>
      <c r="D17" s="43"/>
      <c r="E17" s="43"/>
      <c r="F17" s="23"/>
      <c r="G17" s="21"/>
      <c r="H17" s="43"/>
      <c r="I17" s="43"/>
      <c r="J17" s="43"/>
      <c r="K17" s="44"/>
    </row>
    <row r="18" spans="1:11" s="17" customFormat="1" ht="24">
      <c r="A18" s="10" t="s">
        <v>14</v>
      </c>
      <c r="B18" s="11">
        <f>SUM(B14:B17)</f>
        <v>9920</v>
      </c>
      <c r="C18" s="11">
        <f>SUM(C14:C17)</f>
        <v>0</v>
      </c>
      <c r="D18" s="61">
        <f>SUM(D14:D17)</f>
        <v>0</v>
      </c>
      <c r="E18" s="11">
        <f>SUM(E14:E17)</f>
        <v>9920</v>
      </c>
      <c r="F18" s="24"/>
      <c r="G18" s="33"/>
      <c r="H18" s="11">
        <f>SUM(H14:H17)</f>
        <v>1250</v>
      </c>
      <c r="I18" s="11">
        <f>SUM(I14:I17)</f>
        <v>0</v>
      </c>
      <c r="J18" s="61">
        <f>SUM(J14:J17)</f>
        <v>0</v>
      </c>
      <c r="K18" s="12">
        <f>SUM(K14:K17)</f>
        <v>1250</v>
      </c>
    </row>
    <row r="19" spans="1:11" ht="12.75">
      <c r="A19" s="63" t="s">
        <v>5</v>
      </c>
      <c r="B19" s="6">
        <f>100+160</f>
        <v>260</v>
      </c>
      <c r="C19" s="6"/>
      <c r="D19" s="6"/>
      <c r="E19" s="6">
        <f aca="true" t="shared" si="0" ref="E19:E27">SUM(B19:D19)</f>
        <v>260</v>
      </c>
      <c r="F19" s="23"/>
      <c r="G19" s="30"/>
      <c r="H19" s="43"/>
      <c r="I19" s="43"/>
      <c r="J19" s="43"/>
      <c r="K19" s="44">
        <f aca="true" t="shared" si="1" ref="K19:K27">SUM(H19:J19)</f>
        <v>0</v>
      </c>
    </row>
    <row r="20" spans="1:11" ht="12.75">
      <c r="A20" s="5" t="s">
        <v>6</v>
      </c>
      <c r="B20" s="16">
        <f>12*121*(12*20)/1000+1.52</f>
        <v>350</v>
      </c>
      <c r="C20" s="8"/>
      <c r="D20" s="8"/>
      <c r="E20" s="8">
        <f t="shared" si="0"/>
        <v>350</v>
      </c>
      <c r="F20" s="49"/>
      <c r="G20" s="32"/>
      <c r="H20" s="43"/>
      <c r="I20" s="43"/>
      <c r="J20" s="43"/>
      <c r="K20" s="44">
        <f t="shared" si="1"/>
        <v>0</v>
      </c>
    </row>
    <row r="21" spans="1:11" s="50" customFormat="1" ht="12.75">
      <c r="A21" s="5" t="s">
        <v>7</v>
      </c>
      <c r="B21" s="16">
        <f>2446*1.1+9.4</f>
        <v>2700.0000000000005</v>
      </c>
      <c r="C21" s="8"/>
      <c r="D21" s="8"/>
      <c r="E21" s="8">
        <f t="shared" si="0"/>
        <v>2700.0000000000005</v>
      </c>
      <c r="F21" s="47"/>
      <c r="G21" s="32"/>
      <c r="H21" s="60">
        <f>440*1.05+8</f>
        <v>470</v>
      </c>
      <c r="I21" s="48"/>
      <c r="J21" s="48"/>
      <c r="K21" s="64">
        <f t="shared" si="1"/>
        <v>470</v>
      </c>
    </row>
    <row r="22" spans="1:11" s="18" customFormat="1" ht="12.75">
      <c r="A22" s="5" t="s">
        <v>52</v>
      </c>
      <c r="B22" s="16"/>
      <c r="C22" s="8"/>
      <c r="D22" s="8"/>
      <c r="E22" s="8">
        <f t="shared" si="0"/>
        <v>0</v>
      </c>
      <c r="F22" s="47"/>
      <c r="G22" s="32"/>
      <c r="H22" s="16"/>
      <c r="I22" s="8"/>
      <c r="J22" s="8"/>
      <c r="K22" s="9">
        <f t="shared" si="1"/>
        <v>0</v>
      </c>
    </row>
    <row r="23" spans="1:11" ht="12.75">
      <c r="A23" s="5" t="s">
        <v>8</v>
      </c>
      <c r="B23" s="8">
        <v>50</v>
      </c>
      <c r="C23" s="8"/>
      <c r="D23" s="8"/>
      <c r="E23" s="8">
        <f t="shared" si="0"/>
        <v>50</v>
      </c>
      <c r="F23" s="23"/>
      <c r="G23" s="21"/>
      <c r="H23" s="43"/>
      <c r="I23" s="43"/>
      <c r="J23" s="43"/>
      <c r="K23" s="44">
        <f t="shared" si="1"/>
        <v>0</v>
      </c>
    </row>
    <row r="24" spans="1:11" ht="12.75">
      <c r="A24" s="5" t="s">
        <v>9</v>
      </c>
      <c r="B24" s="43">
        <v>30</v>
      </c>
      <c r="C24" s="43"/>
      <c r="D24" s="43"/>
      <c r="E24" s="43">
        <f t="shared" si="0"/>
        <v>30</v>
      </c>
      <c r="F24" s="23"/>
      <c r="G24" s="21"/>
      <c r="H24" s="43"/>
      <c r="I24" s="43"/>
      <c r="J24" s="43"/>
      <c r="K24" s="44">
        <f t="shared" si="1"/>
        <v>0</v>
      </c>
    </row>
    <row r="25" spans="1:11" ht="12.75" hidden="1">
      <c r="A25" s="5" t="s">
        <v>10</v>
      </c>
      <c r="B25" s="43"/>
      <c r="C25" s="43"/>
      <c r="D25" s="43"/>
      <c r="E25" s="43">
        <f t="shared" si="0"/>
        <v>0</v>
      </c>
      <c r="F25" s="23"/>
      <c r="G25" s="21"/>
      <c r="H25" s="43"/>
      <c r="I25" s="43"/>
      <c r="J25" s="43"/>
      <c r="K25" s="44">
        <f t="shared" si="1"/>
        <v>0</v>
      </c>
    </row>
    <row r="26" spans="1:11" ht="12.75">
      <c r="A26" s="5" t="s">
        <v>58</v>
      </c>
      <c r="B26" s="43"/>
      <c r="C26" s="43"/>
      <c r="D26" s="43"/>
      <c r="E26" s="43">
        <f t="shared" si="0"/>
        <v>0</v>
      </c>
      <c r="F26" s="23"/>
      <c r="G26" s="21"/>
      <c r="H26" s="43"/>
      <c r="I26" s="43"/>
      <c r="J26" s="43"/>
      <c r="K26" s="44">
        <f t="shared" si="1"/>
        <v>0</v>
      </c>
    </row>
    <row r="27" spans="1:11" ht="12.75">
      <c r="A27" s="5" t="s">
        <v>11</v>
      </c>
      <c r="B27" s="43">
        <f>100+50</f>
        <v>150</v>
      </c>
      <c r="C27" s="43"/>
      <c r="D27" s="43"/>
      <c r="E27" s="43">
        <f t="shared" si="0"/>
        <v>150</v>
      </c>
      <c r="F27" s="23"/>
      <c r="G27" s="21"/>
      <c r="H27" s="43"/>
      <c r="I27" s="43"/>
      <c r="J27" s="43"/>
      <c r="K27" s="44">
        <f t="shared" si="1"/>
        <v>0</v>
      </c>
    </row>
    <row r="28" spans="1:11" s="17" customFormat="1" ht="24">
      <c r="A28" s="10" t="s">
        <v>13</v>
      </c>
      <c r="B28" s="11">
        <f>SUM(B19:B27)</f>
        <v>3540.0000000000005</v>
      </c>
      <c r="C28" s="11">
        <f>SUM(C19:C27)</f>
        <v>0</v>
      </c>
      <c r="D28" s="61">
        <f>SUM(D19:D27)</f>
        <v>0</v>
      </c>
      <c r="E28" s="11">
        <f>SUM(E19:E27)</f>
        <v>3540.0000000000005</v>
      </c>
      <c r="F28" s="24"/>
      <c r="G28" s="33"/>
      <c r="H28" s="11">
        <f>SUM(H19:H27)</f>
        <v>470</v>
      </c>
      <c r="I28" s="11">
        <f>SUM(I19:I27)</f>
        <v>0</v>
      </c>
      <c r="J28" s="61">
        <f>SUM(J19:J27)</f>
        <v>0</v>
      </c>
      <c r="K28" s="12">
        <f>SUM(K19:K27)</f>
        <v>470</v>
      </c>
    </row>
    <row r="29" spans="1:11" ht="12.75">
      <c r="A29" s="5" t="s">
        <v>16</v>
      </c>
      <c r="B29" s="16">
        <f>860*0+746+3*81-3*35+500-1384+3/3*506+56</f>
        <v>562</v>
      </c>
      <c r="C29" s="8"/>
      <c r="D29" s="8"/>
      <c r="E29" s="8">
        <f aca="true" t="shared" si="2" ref="E29:E34">SUM(B29:D29)</f>
        <v>562</v>
      </c>
      <c r="F29" s="47"/>
      <c r="G29" s="32"/>
      <c r="H29" s="43"/>
      <c r="I29" s="43"/>
      <c r="J29" s="43"/>
      <c r="K29" s="44">
        <f aca="true" t="shared" si="3" ref="K29:K34">SUM(H29:J29)</f>
        <v>0</v>
      </c>
    </row>
    <row r="30" spans="1:11" s="50" customFormat="1" ht="12.75">
      <c r="A30" s="5" t="s">
        <v>17</v>
      </c>
      <c r="B30" s="16">
        <f>1865*0+1804+3*150-54</f>
        <v>2200</v>
      </c>
      <c r="C30" s="65">
        <f>55.8</f>
        <v>55.8</v>
      </c>
      <c r="D30" s="8"/>
      <c r="E30" s="8">
        <f t="shared" si="2"/>
        <v>2255.8</v>
      </c>
      <c r="F30" s="47"/>
      <c r="G30" s="32"/>
      <c r="H30" s="51">
        <f>123*1.05-4.15</f>
        <v>125</v>
      </c>
      <c r="I30" s="48"/>
      <c r="J30" s="48"/>
      <c r="K30" s="64">
        <f t="shared" si="3"/>
        <v>125</v>
      </c>
    </row>
    <row r="31" spans="1:11" s="52" customFormat="1" ht="12.75">
      <c r="A31" s="5" t="s">
        <v>18</v>
      </c>
      <c r="B31" s="16">
        <f>710*0+(1592-44/44*583)+(5500-2010/2010*1000-2011/2011*3000)-2509+2012/2012*(3/3*(1197-67)+4/4*(1675-1150))</f>
        <v>1655</v>
      </c>
      <c r="C31" s="8"/>
      <c r="D31" s="8"/>
      <c r="E31" s="8">
        <f t="shared" si="2"/>
        <v>1655</v>
      </c>
      <c r="F31" s="47"/>
      <c r="G31" s="32"/>
      <c r="H31" s="51"/>
      <c r="I31" s="43"/>
      <c r="J31" s="43"/>
      <c r="K31" s="44">
        <f t="shared" si="3"/>
        <v>0</v>
      </c>
    </row>
    <row r="32" spans="1:11" s="52" customFormat="1" ht="12.75">
      <c r="A32" s="5" t="s">
        <v>19</v>
      </c>
      <c r="B32" s="16">
        <f>12+16</f>
        <v>28</v>
      </c>
      <c r="C32" s="8"/>
      <c r="D32" s="8"/>
      <c r="E32" s="8">
        <f t="shared" si="2"/>
        <v>28</v>
      </c>
      <c r="F32" s="47"/>
      <c r="G32" s="32"/>
      <c r="H32" s="51"/>
      <c r="I32" s="43"/>
      <c r="J32" s="43"/>
      <c r="K32" s="44">
        <f t="shared" si="3"/>
        <v>0</v>
      </c>
    </row>
    <row r="33" spans="1:11" s="50" customFormat="1" ht="12.75">
      <c r="A33" s="5" t="s">
        <v>20</v>
      </c>
      <c r="B33" s="43">
        <f>35+60+40+50+150</f>
        <v>335</v>
      </c>
      <c r="C33" s="43"/>
      <c r="D33" s="43"/>
      <c r="E33" s="43">
        <f t="shared" si="2"/>
        <v>335</v>
      </c>
      <c r="F33" s="53"/>
      <c r="G33" s="32"/>
      <c r="H33" s="51">
        <f>100*1.1</f>
        <v>110.00000000000001</v>
      </c>
      <c r="I33" s="48"/>
      <c r="J33" s="48"/>
      <c r="K33" s="64">
        <f t="shared" si="3"/>
        <v>110.00000000000001</v>
      </c>
    </row>
    <row r="34" spans="1:11" ht="12.75">
      <c r="A34" s="5" t="s">
        <v>57</v>
      </c>
      <c r="B34" s="48"/>
      <c r="C34" s="48"/>
      <c r="D34" s="48"/>
      <c r="E34" s="48">
        <f t="shared" si="2"/>
        <v>0</v>
      </c>
      <c r="F34" s="23"/>
      <c r="G34" s="21"/>
      <c r="H34" s="43"/>
      <c r="I34" s="43"/>
      <c r="J34" s="43"/>
      <c r="K34" s="44">
        <f t="shared" si="3"/>
        <v>0</v>
      </c>
    </row>
    <row r="35" spans="1:11" ht="12.75" hidden="1">
      <c r="A35" s="5" t="s">
        <v>0</v>
      </c>
      <c r="B35" s="43"/>
      <c r="C35" s="43"/>
      <c r="D35" s="43"/>
      <c r="E35" s="43"/>
      <c r="F35" s="23"/>
      <c r="G35" s="21"/>
      <c r="H35" s="43"/>
      <c r="I35" s="43"/>
      <c r="J35" s="43"/>
      <c r="K35" s="44"/>
    </row>
    <row r="36" spans="1:11" s="17" customFormat="1" ht="24">
      <c r="A36" s="10" t="s">
        <v>12</v>
      </c>
      <c r="B36" s="11">
        <f>SUM(B29:B35)</f>
        <v>4780</v>
      </c>
      <c r="C36" s="11">
        <f>SUM(C29:C35)</f>
        <v>55.8</v>
      </c>
      <c r="D36" s="61">
        <f>SUM(D29:D35)</f>
        <v>0</v>
      </c>
      <c r="E36" s="11">
        <f>SUM(E29:E35)</f>
        <v>4835.8</v>
      </c>
      <c r="F36" s="24"/>
      <c r="G36" s="33"/>
      <c r="H36" s="11">
        <f>SUM(H29:H35)</f>
        <v>235</v>
      </c>
      <c r="I36" s="11">
        <f>SUM(I29:I35)</f>
        <v>0</v>
      </c>
      <c r="J36" s="61">
        <f>SUM(J29:J35)</f>
        <v>0</v>
      </c>
      <c r="K36" s="12">
        <f>SUM(K29:K35)</f>
        <v>235</v>
      </c>
    </row>
    <row r="37" spans="1:11" ht="12.75">
      <c r="A37" s="5" t="s">
        <v>22</v>
      </c>
      <c r="B37" s="6">
        <v>350</v>
      </c>
      <c r="C37" s="6"/>
      <c r="D37" s="6"/>
      <c r="E37" s="6">
        <f>SUM(B37:D37)</f>
        <v>350</v>
      </c>
      <c r="F37" s="23"/>
      <c r="G37" s="21"/>
      <c r="H37" s="43"/>
      <c r="I37" s="43"/>
      <c r="J37" s="43"/>
      <c r="K37" s="44">
        <f>SUM(H37:J37)</f>
        <v>0</v>
      </c>
    </row>
    <row r="38" spans="1:11" ht="12.75" hidden="1">
      <c r="A38" s="5"/>
      <c r="B38" s="43"/>
      <c r="C38" s="43"/>
      <c r="D38" s="43"/>
      <c r="E38" s="43"/>
      <c r="F38" s="23"/>
      <c r="G38" s="21"/>
      <c r="H38" s="43"/>
      <c r="I38" s="43"/>
      <c r="J38" s="43"/>
      <c r="K38" s="44"/>
    </row>
    <row r="39" spans="1:11" s="17" customFormat="1" ht="24">
      <c r="A39" s="10" t="s">
        <v>21</v>
      </c>
      <c r="B39" s="11">
        <f>SUM(B37:B38)</f>
        <v>350</v>
      </c>
      <c r="C39" s="11">
        <f>SUM(C37:C38)</f>
        <v>0</v>
      </c>
      <c r="D39" s="61">
        <f>SUM(D37:D38)</f>
        <v>0</v>
      </c>
      <c r="E39" s="11">
        <f>SUM(E37:E38)</f>
        <v>350</v>
      </c>
      <c r="F39" s="24"/>
      <c r="G39" s="33"/>
      <c r="H39" s="11">
        <f>SUM(H37:H38)</f>
        <v>0</v>
      </c>
      <c r="I39" s="11">
        <f>SUM(I37:I38)</f>
        <v>0</v>
      </c>
      <c r="J39" s="61">
        <f>SUM(J37:J38)</f>
        <v>0</v>
      </c>
      <c r="K39" s="12">
        <f>SUM(K37:K38)</f>
        <v>0</v>
      </c>
    </row>
    <row r="40" spans="1:11" s="50" customFormat="1" ht="19.5" customHeight="1">
      <c r="A40" s="5" t="s">
        <v>24</v>
      </c>
      <c r="B40" s="16">
        <f>(5000-2000-3000)+2012/2012*5000</f>
        <v>5000</v>
      </c>
      <c r="C40" s="8"/>
      <c r="D40" s="8"/>
      <c r="E40" s="8">
        <f>SUM(B40:D40)</f>
        <v>5000</v>
      </c>
      <c r="F40" s="46" t="s">
        <v>66</v>
      </c>
      <c r="G40" s="32"/>
      <c r="H40" s="16">
        <f>10000*0+(1350*12-16200)*0+(87694-66438)-21256/2+1372</f>
        <v>12000</v>
      </c>
      <c r="I40" s="48"/>
      <c r="J40" s="48"/>
      <c r="K40" s="64">
        <f>SUM(H40:J40)</f>
        <v>12000</v>
      </c>
    </row>
    <row r="41" spans="1:11" ht="12.75">
      <c r="A41" s="5" t="s">
        <v>25</v>
      </c>
      <c r="B41" s="16">
        <f>(6000*0+6300)*(1.05*0+1.1*0+1.15)-315*0-630*0+55-1000*0</f>
        <v>7299.999999999999</v>
      </c>
      <c r="C41" s="8"/>
      <c r="D41" s="8"/>
      <c r="E41" s="8">
        <f>SUM(B41:D41)</f>
        <v>7299.999999999999</v>
      </c>
      <c r="F41" s="47"/>
      <c r="G41" s="32"/>
      <c r="H41" s="43"/>
      <c r="I41" s="43"/>
      <c r="J41" s="43"/>
      <c r="K41" s="44">
        <f>SUM(H41:J41)</f>
        <v>0</v>
      </c>
    </row>
    <row r="42" spans="1:11" s="17" customFormat="1" ht="12.75">
      <c r="A42" s="10" t="s">
        <v>23</v>
      </c>
      <c r="B42" s="11">
        <f>SUM(B40:B41)</f>
        <v>12300</v>
      </c>
      <c r="C42" s="11">
        <f>SUM(C40:C41)</f>
        <v>0</v>
      </c>
      <c r="D42" s="61">
        <f>SUM(D40:D41)</f>
        <v>0</v>
      </c>
      <c r="E42" s="11">
        <f>SUM(E40:E41)</f>
        <v>12300</v>
      </c>
      <c r="F42" s="24"/>
      <c r="G42" s="33"/>
      <c r="H42" s="11">
        <f>SUM(H40:H41)</f>
        <v>12000</v>
      </c>
      <c r="I42" s="11">
        <f>SUM(I40:I41)</f>
        <v>0</v>
      </c>
      <c r="J42" s="61">
        <f>SUM(J40:J41)</f>
        <v>0</v>
      </c>
      <c r="K42" s="12">
        <f>SUM(K40:K41)</f>
        <v>12000</v>
      </c>
    </row>
    <row r="43" spans="1:11" ht="12.75">
      <c r="A43" s="5" t="s">
        <v>27</v>
      </c>
      <c r="B43" s="16">
        <f>2276*1.025+0.1-2333+175*12*(1.09-0.09)+50+150</f>
        <v>2299.9999999999995</v>
      </c>
      <c r="C43" s="8"/>
      <c r="D43" s="8"/>
      <c r="E43" s="8">
        <f aca="true" t="shared" si="4" ref="E43:E48">SUM(B43:D43)</f>
        <v>2299.9999999999995</v>
      </c>
      <c r="F43" s="47"/>
      <c r="G43" s="34" t="s">
        <v>38</v>
      </c>
      <c r="H43" s="43">
        <v>100</v>
      </c>
      <c r="I43" s="43"/>
      <c r="J43" s="43"/>
      <c r="K43" s="44">
        <f aca="true" t="shared" si="5" ref="K43:K48">SUM(H43:J43)</f>
        <v>100</v>
      </c>
    </row>
    <row r="44" spans="1:11" s="18" customFormat="1" ht="12.75">
      <c r="A44" s="5" t="s">
        <v>28</v>
      </c>
      <c r="B44" s="54">
        <f>2011/2011*(48725*1.025-43.125-49900)+2012/2012*(47914*1.015-32.7)-98116/98116*(12*((24.79+24.01+21.37+22.09+20.09)-0.35-112*0-1344*0)*(1+0.09+0.25)+0.05+1801*0-732/732*210/2*0-1)-46800+(1/1*(899+200)+2/2*(552-92))+3/3*(41901-835+377-712+99-308+36-4068)+4/4*(7471+94+44-343+3000*0+1000*0+90+2000*0-1500)+5/5*111+6/6*152+7/7*32+10/10*(6059-1571)</f>
        <v>48687.999999999985</v>
      </c>
      <c r="C44" s="65">
        <f>398.5</f>
        <v>398.5</v>
      </c>
      <c r="D44" s="8"/>
      <c r="E44" s="8">
        <f t="shared" si="4"/>
        <v>49086.499999999985</v>
      </c>
      <c r="F44" s="66" t="s">
        <v>69</v>
      </c>
      <c r="G44" s="37" t="s">
        <v>60</v>
      </c>
      <c r="H44" s="16">
        <f>18478*0+2011/2011*16653*0+2012/2012*(15758+(1250*0+408+842))-H14-H15</f>
        <v>15758</v>
      </c>
      <c r="I44" s="65">
        <f>398.5</f>
        <v>398.5</v>
      </c>
      <c r="J44" s="8"/>
      <c r="K44" s="9">
        <f t="shared" si="5"/>
        <v>16156.5</v>
      </c>
    </row>
    <row r="45" spans="1:11" ht="10.5" customHeight="1">
      <c r="A45" s="7" t="s">
        <v>29</v>
      </c>
      <c r="B45" s="8">
        <f>583-62+523+262/2</f>
        <v>1175</v>
      </c>
      <c r="C45" s="8"/>
      <c r="D45" s="8"/>
      <c r="E45" s="8">
        <f t="shared" si="4"/>
        <v>1175</v>
      </c>
      <c r="F45" s="47"/>
      <c r="G45" s="30" t="s">
        <v>37</v>
      </c>
      <c r="H45" s="43"/>
      <c r="I45" s="43"/>
      <c r="J45" s="43"/>
      <c r="K45" s="44">
        <f t="shared" si="5"/>
        <v>0</v>
      </c>
    </row>
    <row r="46" spans="1:11" s="52" customFormat="1" ht="30" customHeight="1">
      <c r="A46" s="5" t="s">
        <v>30</v>
      </c>
      <c r="B46" s="43">
        <f>3113/3113*(5000-3500)+6171/6171*((4000-3612/3612*B40)+2000-2500)+2012/2012*(3000+1000+2000)</f>
        <v>6000</v>
      </c>
      <c r="C46" s="43"/>
      <c r="D46" s="43"/>
      <c r="E46" s="43">
        <f t="shared" si="4"/>
        <v>6000</v>
      </c>
      <c r="F46" s="47" t="s">
        <v>67</v>
      </c>
      <c r="G46" s="21" t="s">
        <v>61</v>
      </c>
      <c r="H46" s="43">
        <f>300*0+2012/2012*500</f>
        <v>500</v>
      </c>
      <c r="I46" s="43"/>
      <c r="J46" s="43"/>
      <c r="K46" s="44">
        <f t="shared" si="5"/>
        <v>500</v>
      </c>
    </row>
    <row r="47" spans="1:11" s="52" customFormat="1" ht="12.75">
      <c r="A47" s="5" t="s">
        <v>31</v>
      </c>
      <c r="B47" s="43">
        <v>150</v>
      </c>
      <c r="C47" s="43"/>
      <c r="D47" s="43"/>
      <c r="E47" s="43">
        <f t="shared" si="4"/>
        <v>150</v>
      </c>
      <c r="F47" s="23"/>
      <c r="G47" s="21" t="s">
        <v>40</v>
      </c>
      <c r="H47" s="43"/>
      <c r="I47" s="43"/>
      <c r="J47" s="43"/>
      <c r="K47" s="44">
        <f t="shared" si="5"/>
        <v>0</v>
      </c>
    </row>
    <row r="48" spans="1:11" s="50" customFormat="1" ht="12.75">
      <c r="A48" s="5" t="s">
        <v>32</v>
      </c>
      <c r="B48" s="43">
        <f>16/16*(509+101)+(77+50)+352+3</f>
        <v>1092</v>
      </c>
      <c r="C48" s="43"/>
      <c r="D48" s="43"/>
      <c r="E48" s="43">
        <f t="shared" si="4"/>
        <v>1092</v>
      </c>
      <c r="F48" s="23"/>
      <c r="G48" s="21" t="s">
        <v>39</v>
      </c>
      <c r="H48" s="51">
        <f>160*0+2012/2012*200</f>
        <v>200</v>
      </c>
      <c r="I48" s="48"/>
      <c r="J48" s="48"/>
      <c r="K48" s="64">
        <f t="shared" si="5"/>
        <v>200</v>
      </c>
    </row>
    <row r="49" spans="1:11" ht="12.75">
      <c r="A49" s="5"/>
      <c r="B49" s="48"/>
      <c r="C49" s="48"/>
      <c r="D49" s="48"/>
      <c r="E49" s="48"/>
      <c r="F49" s="23"/>
      <c r="G49" s="21" t="s">
        <v>53</v>
      </c>
      <c r="H49" s="43"/>
      <c r="I49" s="43"/>
      <c r="J49" s="43"/>
      <c r="K49" s="44"/>
    </row>
    <row r="50" spans="1:11" s="17" customFormat="1" ht="24">
      <c r="A50" s="10" t="s">
        <v>26</v>
      </c>
      <c r="B50" s="11">
        <f>SUM(B43:B49)</f>
        <v>59404.999999999985</v>
      </c>
      <c r="C50" s="11">
        <f>SUM(C43:C49)</f>
        <v>398.5</v>
      </c>
      <c r="D50" s="61">
        <f>SUM(D43:D49)</f>
        <v>0</v>
      </c>
      <c r="E50" s="11">
        <f>SUM(E43:E49)</f>
        <v>59803.499999999985</v>
      </c>
      <c r="F50" s="24"/>
      <c r="G50" s="33"/>
      <c r="H50" s="11">
        <f>SUM(H43:H49)</f>
        <v>16558</v>
      </c>
      <c r="I50" s="11">
        <f>SUM(I43:I49)</f>
        <v>398.5</v>
      </c>
      <c r="J50" s="61">
        <f>SUM(J43:J49)</f>
        <v>0</v>
      </c>
      <c r="K50" s="12">
        <f>SUM(K43:K49)</f>
        <v>16956.5</v>
      </c>
    </row>
    <row r="51" spans="1:11" s="19" customFormat="1" ht="12.75">
      <c r="A51" s="5"/>
      <c r="B51" s="6"/>
      <c r="C51" s="6"/>
      <c r="D51" s="6"/>
      <c r="E51" s="6"/>
      <c r="F51" s="23"/>
      <c r="G51" s="21" t="s">
        <v>45</v>
      </c>
      <c r="H51" s="55">
        <f>(250+35+520+13+250+1300)+32</f>
        <v>2400</v>
      </c>
      <c r="I51" s="56"/>
      <c r="J51" s="56"/>
      <c r="K51" s="38">
        <f aca="true" t="shared" si="6" ref="K51:K56">SUM(H51:J51)</f>
        <v>2400</v>
      </c>
    </row>
    <row r="52" spans="1:11" s="19" customFormat="1" ht="12.75">
      <c r="A52" s="5"/>
      <c r="B52" s="56"/>
      <c r="C52" s="56"/>
      <c r="D52" s="56"/>
      <c r="E52" s="56"/>
      <c r="F52" s="23"/>
      <c r="G52" s="21" t="s">
        <v>44</v>
      </c>
      <c r="H52" s="43">
        <f>2700*1.035+5.5</f>
        <v>2800</v>
      </c>
      <c r="I52" s="43"/>
      <c r="J52" s="43"/>
      <c r="K52" s="44">
        <f t="shared" si="6"/>
        <v>2800</v>
      </c>
    </row>
    <row r="53" spans="1:11" ht="12.75">
      <c r="A53" s="5"/>
      <c r="B53" s="43"/>
      <c r="C53" s="43"/>
      <c r="D53" s="43"/>
      <c r="E53" s="43"/>
      <c r="F53" s="23"/>
      <c r="G53" s="21" t="s">
        <v>43</v>
      </c>
      <c r="H53" s="43">
        <f>5000*0+9200*0+2012/2012*8700</f>
        <v>8700</v>
      </c>
      <c r="I53" s="43"/>
      <c r="J53" s="43"/>
      <c r="K53" s="44">
        <f t="shared" si="6"/>
        <v>8700</v>
      </c>
    </row>
    <row r="54" spans="1:11" s="18" customFormat="1" ht="12.75">
      <c r="A54" s="5"/>
      <c r="B54" s="43"/>
      <c r="C54" s="43"/>
      <c r="D54" s="43"/>
      <c r="E54" s="43"/>
      <c r="F54" s="23"/>
      <c r="G54" s="21" t="s">
        <v>42</v>
      </c>
      <c r="H54" s="16">
        <f>8408*3.728472883*0+31120*0+2012/2012*(38243.68+0.32)</f>
        <v>38244</v>
      </c>
      <c r="I54" s="65">
        <f>2/2*4200+55.8</f>
        <v>4255.8</v>
      </c>
      <c r="J54" s="8"/>
      <c r="K54" s="9">
        <f t="shared" si="6"/>
        <v>42499.8</v>
      </c>
    </row>
    <row r="55" spans="1:11" ht="12.75">
      <c r="A55" s="5"/>
      <c r="B55" s="8"/>
      <c r="C55" s="8"/>
      <c r="D55" s="8"/>
      <c r="E55" s="8"/>
      <c r="F55" s="23"/>
      <c r="G55" s="21" t="s">
        <v>68</v>
      </c>
      <c r="H55" s="43"/>
      <c r="I55" s="43"/>
      <c r="J55" s="43"/>
      <c r="K55" s="44">
        <f t="shared" si="6"/>
        <v>0</v>
      </c>
    </row>
    <row r="56" spans="1:11" s="18" customFormat="1" ht="12.75">
      <c r="A56" s="5"/>
      <c r="B56" s="43"/>
      <c r="C56" s="43"/>
      <c r="D56" s="43"/>
      <c r="E56" s="43"/>
      <c r="F56" s="23"/>
      <c r="G56" s="21" t="s">
        <v>41</v>
      </c>
      <c r="H56" s="16">
        <f>3000*0+21256/2*2-H40-9256*0+3000-12256+2012/2012*(3612/3612*5000+3688)</f>
        <v>8688</v>
      </c>
      <c r="I56" s="8"/>
      <c r="J56" s="8"/>
      <c r="K56" s="9">
        <f t="shared" si="6"/>
        <v>8688</v>
      </c>
    </row>
    <row r="57" spans="1:11" s="18" customFormat="1" ht="12.75">
      <c r="A57" s="5"/>
      <c r="B57" s="8"/>
      <c r="C57" s="8"/>
      <c r="D57" s="8"/>
      <c r="E57" s="8"/>
      <c r="F57" s="23"/>
      <c r="G57" s="35" t="s">
        <v>56</v>
      </c>
      <c r="H57" s="43"/>
      <c r="I57" s="43"/>
      <c r="J57" s="43"/>
      <c r="K57" s="44"/>
    </row>
    <row r="58" spans="1:11" s="17" customFormat="1" ht="24">
      <c r="A58" s="10" t="s">
        <v>33</v>
      </c>
      <c r="B58" s="11">
        <f>SUM(B51:B57)</f>
        <v>0</v>
      </c>
      <c r="C58" s="11">
        <f>SUM(C51:C57)</f>
        <v>0</v>
      </c>
      <c r="D58" s="61">
        <f>SUM(D51:D57)</f>
        <v>0</v>
      </c>
      <c r="E58" s="11">
        <f>SUM(E51:E57)</f>
        <v>0</v>
      </c>
      <c r="F58" s="24"/>
      <c r="G58" s="21"/>
      <c r="H58" s="11">
        <f>SUM(H51:H57)</f>
        <v>60832</v>
      </c>
      <c r="I58" s="11">
        <f>SUM(I51:I57)</f>
        <v>4255.8</v>
      </c>
      <c r="J58" s="61">
        <f>SUM(J51:J57)</f>
        <v>0</v>
      </c>
      <c r="K58" s="12">
        <f>SUM(K51:K57)</f>
        <v>65087.8</v>
      </c>
    </row>
    <row r="59" spans="1:11" ht="12.75">
      <c r="A59" s="5"/>
      <c r="B59" s="6"/>
      <c r="C59" s="6"/>
      <c r="D59" s="6"/>
      <c r="E59" s="6"/>
      <c r="F59" s="23"/>
      <c r="G59" s="21"/>
      <c r="H59" s="43"/>
      <c r="I59" s="43"/>
      <c r="J59" s="43"/>
      <c r="K59" s="44"/>
    </row>
    <row r="60" spans="1:11" s="17" customFormat="1" ht="13.5" thickBot="1">
      <c r="A60" s="13" t="s">
        <v>34</v>
      </c>
      <c r="B60" s="14">
        <f>SUM(B3:B59)/2</f>
        <v>91344.99999999999</v>
      </c>
      <c r="C60" s="14">
        <f>SUM(C3:C59)/2</f>
        <v>4654.299999999999</v>
      </c>
      <c r="D60" s="62">
        <f>SUM(D3:D59)/2</f>
        <v>0</v>
      </c>
      <c r="E60" s="14">
        <f>SUM(E3:E59)/2</f>
        <v>95999.29999999999</v>
      </c>
      <c r="F60" s="25"/>
      <c r="G60" s="57"/>
      <c r="H60" s="14">
        <f>SUM(H3:H59)/2</f>
        <v>91345</v>
      </c>
      <c r="I60" s="14">
        <f>SUM(I3:I59)/2</f>
        <v>4654.3</v>
      </c>
      <c r="J60" s="62">
        <f>SUM(J3:J59)/2</f>
        <v>0</v>
      </c>
      <c r="K60" s="15">
        <f>SUM(K3:K59)/2</f>
        <v>95999.3</v>
      </c>
    </row>
    <row r="61" spans="2:5" ht="13.5" thickTop="1">
      <c r="B61" s="20"/>
      <c r="C61" s="20"/>
      <c r="D61" s="20"/>
      <c r="E61" s="27"/>
    </row>
  </sheetData>
  <sheetProtection password="CC4F" sheet="1" objects="1" scenarios="1"/>
  <mergeCells count="2">
    <mergeCell ref="B1:E1"/>
    <mergeCell ref="H1:K1"/>
  </mergeCells>
  <printOptions gridLines="1"/>
  <pageMargins left="0.5905511811023623" right="0" top="0.7874015748031497" bottom="0.5905511811023623" header="0.5118110236220472" footer="0.31496062992125984"/>
  <pageSetup horizontalDpi="600" verticalDpi="600" orientation="portrait" paperSize="9" scale="85" r:id="rId1"/>
  <headerFooter alignWithMargins="0">
    <oddHeader>&amp;L&amp;"Arial,tučné kurzíva"&amp;14Úprava rozpočtu na rok 2012&amp;R&amp;"Arial,tučné kurzíva"ZMČ 28.03.2012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2012-03-16T10:13:39Z</cp:lastPrinted>
  <dcterms:created xsi:type="dcterms:W3CDTF">2009-11-29T19:02:18Z</dcterms:created>
  <dcterms:modified xsi:type="dcterms:W3CDTF">2012-04-22T17:40:23Z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