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9320" windowHeight="8115" activeTab="4"/>
  </bookViews>
  <sheets>
    <sheet name="příl 2b R 2014 OdPa" sheetId="1" r:id="rId1"/>
    <sheet name="příl 2a R 2014 kapit" sheetId="2" r:id="rId2"/>
    <sheet name="příl 4 rozp výhled do 2019" sheetId="3" r:id="rId3"/>
    <sheet name="příl 5 R SFZ" sheetId="4" r:id="rId4"/>
    <sheet name="příl 4 R 2014 hosp čin" sheetId="5" r:id="rId5"/>
  </sheets>
  <definedNames>
    <definedName name="_xlnm.Print_Titles" localSheetId="1">'příl 2a R 2014 kapit'!$2:$3</definedName>
    <definedName name="_xlnm.Print_Titles" localSheetId="0">'příl 2b R 2014 OdPa'!$10:$12</definedName>
    <definedName name="_xlnm.Print_Titles" localSheetId="4">'příl 4 R 2014 hosp čin'!$10:$11</definedName>
  </definedNames>
  <calcPr fullCalcOnLoad="1"/>
</workbook>
</file>

<file path=xl/sharedStrings.xml><?xml version="1.0" encoding="utf-8"?>
<sst xmlns="http://schemas.openxmlformats.org/spreadsheetml/2006/main" count="1816" uniqueCount="926">
  <si>
    <t>00241598</t>
  </si>
  <si>
    <t>Název a sídlo účetní jednotky:</t>
  </si>
  <si>
    <t>Městská část Praha 16</t>
  </si>
  <si>
    <t>Václava Balého 23/3</t>
  </si>
  <si>
    <t>15300  Praha - Praha - Radotín</t>
  </si>
  <si>
    <t>NS:</t>
  </si>
  <si>
    <t>HČ MČ Praha 16</t>
  </si>
  <si>
    <t>I. ROZPOČTOVÉ PŘÍJMY</t>
  </si>
  <si>
    <t>Paragraf</t>
  </si>
  <si>
    <t>Položka</t>
  </si>
  <si>
    <t>Text</t>
  </si>
  <si>
    <t>Schválený rozpočet</t>
  </si>
  <si>
    <t>Rozpočet po změnách</t>
  </si>
  <si>
    <t>Výsledek od počátku roku</t>
  </si>
  <si>
    <t>a</t>
  </si>
  <si>
    <t>b</t>
  </si>
  <si>
    <t>1</t>
  </si>
  <si>
    <t>2</t>
  </si>
  <si>
    <t>3</t>
  </si>
  <si>
    <t>0000</t>
  </si>
  <si>
    <t>1341</t>
  </si>
  <si>
    <t>Poplatek ze psů</t>
  </si>
  <si>
    <t>250 000,00</t>
  </si>
  <si>
    <t>253 518,75</t>
  </si>
  <si>
    <t>1342</t>
  </si>
  <si>
    <t>Poplatek za lázeňský nebo rekreační pobyt</t>
  </si>
  <si>
    <t>10 000,00</t>
  </si>
  <si>
    <t>3 741,00</t>
  </si>
  <si>
    <t>1343</t>
  </si>
  <si>
    <t>Poplatek za užívání veřejného prostranství</t>
  </si>
  <si>
    <t>560 000,00</t>
  </si>
  <si>
    <t>303 495,00</t>
  </si>
  <si>
    <t>1344</t>
  </si>
  <si>
    <t>Poplatek ze vstupného</t>
  </si>
  <si>
    <t>11 000,00</t>
  </si>
  <si>
    <t>3 935,00</t>
  </si>
  <si>
    <t>1345</t>
  </si>
  <si>
    <t>Poplatek z ubytovací kapacity</t>
  </si>
  <si>
    <t>214 980,00</t>
  </si>
  <si>
    <t>1361</t>
  </si>
  <si>
    <t>Správní poplatky</t>
  </si>
  <si>
    <t>1 800 000,00</t>
  </si>
  <si>
    <t>2 149 254,00</t>
  </si>
  <si>
    <t>1511</t>
  </si>
  <si>
    <t>Daň z nemovitostí</t>
  </si>
  <si>
    <t>8 700 000,00</t>
  </si>
  <si>
    <t>5 282 239,81</t>
  </si>
  <si>
    <t>2460</t>
  </si>
  <si>
    <t>Splátky půjčených prostředků od obyvatelstva</t>
  </si>
  <si>
    <t>138 750,00</t>
  </si>
  <si>
    <t>4111</t>
  </si>
  <si>
    <t>Neinvestiční přijaté transf.z všeob.pokl.správy SR</t>
  </si>
  <si>
    <t>1 724 100,00</t>
  </si>
  <si>
    <t>1 724 140,00</t>
  </si>
  <si>
    <t>4112</t>
  </si>
  <si>
    <t>Neinv.př.transfery ze SR v rámci souhr.dot.vztahu</t>
  </si>
  <si>
    <t>15 772 000,00</t>
  </si>
  <si>
    <t>13 140 000,00</t>
  </si>
  <si>
    <t>4116</t>
  </si>
  <si>
    <t>Ostatní neinv.přijaté transfery ze st. rozpočtu</t>
  </si>
  <si>
    <t>1 388 600,00</t>
  </si>
  <si>
    <t>2 205 773,00</t>
  </si>
  <si>
    <t>4121</t>
  </si>
  <si>
    <t>Neinvestiční přijaté transfery od obcí</t>
  </si>
  <si>
    <t>37 667 000,00</t>
  </si>
  <si>
    <t>46 663 000,00</t>
  </si>
  <si>
    <t>43 676 180,21</t>
  </si>
  <si>
    <t>4131</t>
  </si>
  <si>
    <t>Převody z vlast.fondů hospodářské(podnikat.)činnos</t>
  </si>
  <si>
    <t>19 000 000,00</t>
  </si>
  <si>
    <t>3 500 000,00</t>
  </si>
  <si>
    <t>4134</t>
  </si>
  <si>
    <t>Převody z rozpočtových účtů</t>
  </si>
  <si>
    <t>91 049 000,00</t>
  </si>
  <si>
    <t>73 477 119,34</t>
  </si>
  <si>
    <t>Bez ODPA</t>
  </si>
  <si>
    <t>175 069 000,00</t>
  </si>
  <si>
    <t>187 177 700,00</t>
  </si>
  <si>
    <t>146 073 126,11</t>
  </si>
  <si>
    <t>2119</t>
  </si>
  <si>
    <t>2343</t>
  </si>
  <si>
    <t>Příj.z úhrad dobývacího prostoru a z vydobyt.neros</t>
  </si>
  <si>
    <t>141 597,90</t>
  </si>
  <si>
    <t>Ostatní záležitosti těžeb.průmyslu a energetiky</t>
  </si>
  <si>
    <t>3314</t>
  </si>
  <si>
    <t>2111</t>
  </si>
  <si>
    <t>Příjmy z poskytování služeb a výrobků</t>
  </si>
  <si>
    <t>150 000,00</t>
  </si>
  <si>
    <t>139 868,00</t>
  </si>
  <si>
    <t>Činnosti knihovnické</t>
  </si>
  <si>
    <t>3319</t>
  </si>
  <si>
    <t>50 000,00</t>
  </si>
  <si>
    <t>36 500,00</t>
  </si>
  <si>
    <t>Ostatní záležitosti kultury</t>
  </si>
  <si>
    <t>3722</t>
  </si>
  <si>
    <t>2229</t>
  </si>
  <si>
    <t>Ostatní přijaté vratky transferů</t>
  </si>
  <si>
    <t>106 232,20</t>
  </si>
  <si>
    <t>Sběr a svoz komunálních odpadů</t>
  </si>
  <si>
    <t>4351</t>
  </si>
  <si>
    <t>500 000,00</t>
  </si>
  <si>
    <t>462 013,00</t>
  </si>
  <si>
    <t>Osobní asist., peč.služba a podpora samost.bydlení</t>
  </si>
  <si>
    <t>6171</t>
  </si>
  <si>
    <t>2212</t>
  </si>
  <si>
    <t>Sankční platby přijaté od jiných subjektů</t>
  </si>
  <si>
    <t>497 000,00</t>
  </si>
  <si>
    <t>2321</t>
  </si>
  <si>
    <t>Přijaté neinvestiční dary</t>
  </si>
  <si>
    <t>1 557 900,00</t>
  </si>
  <si>
    <t>1 280 000,00</t>
  </si>
  <si>
    <t>2322</t>
  </si>
  <si>
    <t>Přijaté pojistné náhrady</t>
  </si>
  <si>
    <t>82 000,00</t>
  </si>
  <si>
    <t>97 510,00</t>
  </si>
  <si>
    <t>2329</t>
  </si>
  <si>
    <t>Ostatní nedaňové příjmy jinde nezařazené</t>
  </si>
  <si>
    <t>70 000,00</t>
  </si>
  <si>
    <t>83 993,20</t>
  </si>
  <si>
    <t>Činnost místní správy</t>
  </si>
  <si>
    <t>2 209 900,00</t>
  </si>
  <si>
    <t>1 958 503,20</t>
  </si>
  <si>
    <t>6310</t>
  </si>
  <si>
    <t>2141</t>
  </si>
  <si>
    <t>Příjmy z úroků (část)</t>
  </si>
  <si>
    <t>100 000,00</t>
  </si>
  <si>
    <t>39 901,15</t>
  </si>
  <si>
    <t>Obecné příjmy a výdaje z finančních operací</t>
  </si>
  <si>
    <t>6402</t>
  </si>
  <si>
    <t>2221</t>
  </si>
  <si>
    <t>Přijaté vratky transferů od jiných veř. rozpočtů</t>
  </si>
  <si>
    <t>82 500,00</t>
  </si>
  <si>
    <t>82 456,27</t>
  </si>
  <si>
    <t>Finanční vypořádání minulých let</t>
  </si>
  <si>
    <t>6409</t>
  </si>
  <si>
    <t>60 304,00-</t>
  </si>
  <si>
    <t>Ostatní činnosti j.n.</t>
  </si>
  <si>
    <t>ROZPOČTOVÉ PŘÍJMY CELKEM</t>
  </si>
  <si>
    <t>176 619 000,00</t>
  </si>
  <si>
    <t>190 520 100,00</t>
  </si>
  <si>
    <t>148 979 893,83</t>
  </si>
  <si>
    <t>II. ROZPOČTOVÉ VÝDAJE</t>
  </si>
  <si>
    <t>5169</t>
  </si>
  <si>
    <t>Nákup ostatních služeb</t>
  </si>
  <si>
    <t>200 000,00</t>
  </si>
  <si>
    <t>414 836,15</t>
  </si>
  <si>
    <t>5171</t>
  </si>
  <si>
    <t>Opravy a udržování</t>
  </si>
  <si>
    <t>400 000,00</t>
  </si>
  <si>
    <t>720 800,00</t>
  </si>
  <si>
    <t>624 108,93</t>
  </si>
  <si>
    <t>6121</t>
  </si>
  <si>
    <t>Budovy, haly a stavby</t>
  </si>
  <si>
    <t>96 921,00</t>
  </si>
  <si>
    <t>Silnice</t>
  </si>
  <si>
    <t>600 000,00</t>
  </si>
  <si>
    <t>920 800,00</t>
  </si>
  <si>
    <t>1 135 866,08</t>
  </si>
  <si>
    <t>2219</t>
  </si>
  <si>
    <t>5154</t>
  </si>
  <si>
    <t>Elektrická energie</t>
  </si>
  <si>
    <t>1 033,96</t>
  </si>
  <si>
    <t>5164</t>
  </si>
  <si>
    <t>Nájemné</t>
  </si>
  <si>
    <t>136 000,00</t>
  </si>
  <si>
    <t>136 488,00</t>
  </si>
  <si>
    <t>164 000,00</t>
  </si>
  <si>
    <t>188 000,00</t>
  </si>
  <si>
    <t>185 046,50</t>
  </si>
  <si>
    <t>123 600,00</t>
  </si>
  <si>
    <t>147 988,82</t>
  </si>
  <si>
    <t>29 000,00</t>
  </si>
  <si>
    <t>650 000,00</t>
  </si>
  <si>
    <t>123 311,95</t>
  </si>
  <si>
    <t>6123</t>
  </si>
  <si>
    <t>Dopravní prostředky</t>
  </si>
  <si>
    <t>621 000,00</t>
  </si>
  <si>
    <t>1 090 000,00</t>
  </si>
  <si>
    <t>369 797,42</t>
  </si>
  <si>
    <t>Ostatní záležitosti pozemních komunikací</t>
  </si>
  <si>
    <t>950 000,00</t>
  </si>
  <si>
    <t>2 187 600,00</t>
  </si>
  <si>
    <t>963 666,65</t>
  </si>
  <si>
    <t>28 787,80</t>
  </si>
  <si>
    <t>53 600,00</t>
  </si>
  <si>
    <t>Odvádění a čištění odpadních vod a nakl.s kaly</t>
  </si>
  <si>
    <t>2339</t>
  </si>
  <si>
    <t>140 000,00</t>
  </si>
  <si>
    <t>82 240,00</t>
  </si>
  <si>
    <t>73 180,80</t>
  </si>
  <si>
    <t>Záležitosti vodních toků a vodohosp.děl j.n.</t>
  </si>
  <si>
    <t>155 420,80</t>
  </si>
  <si>
    <t>3111</t>
  </si>
  <si>
    <t>16 000,00</t>
  </si>
  <si>
    <t>48 578,00</t>
  </si>
  <si>
    <t>5331</t>
  </si>
  <si>
    <t>Neinvestiční příspěvky zřízeným příspěvkovým organ</t>
  </si>
  <si>
    <t>1 880 000,00</t>
  </si>
  <si>
    <t>1 410 000,00</t>
  </si>
  <si>
    <t>1 686 000,00</t>
  </si>
  <si>
    <t>1 685 593,30</t>
  </si>
  <si>
    <t>Předškolní zařízení</t>
  </si>
  <si>
    <t>3 582 000,00</t>
  </si>
  <si>
    <t>3 144 171,30</t>
  </si>
  <si>
    <t>3113</t>
  </si>
  <si>
    <t>5151</t>
  </si>
  <si>
    <t>Studená voda</t>
  </si>
  <si>
    <t>184 944,00</t>
  </si>
  <si>
    <t>5152</t>
  </si>
  <si>
    <t>Teplo</t>
  </si>
  <si>
    <t>965 870,14</t>
  </si>
  <si>
    <t>76 534,00</t>
  </si>
  <si>
    <t>133 500,00</t>
  </si>
  <si>
    <t>155 572,90</t>
  </si>
  <si>
    <t>205 000,00</t>
  </si>
  <si>
    <t>370 032,70</t>
  </si>
  <si>
    <t>4 452 000,00</t>
  </si>
  <si>
    <t>5 345 000,00</t>
  </si>
  <si>
    <t>4 232 000,00</t>
  </si>
  <si>
    <t>36 000,00</t>
  </si>
  <si>
    <t>36 300,00</t>
  </si>
  <si>
    <t>Základní školy</t>
  </si>
  <si>
    <t>5 719 500,00</t>
  </si>
  <si>
    <t>6 021 253,74</t>
  </si>
  <si>
    <t>3141</t>
  </si>
  <si>
    <t>131 508,42</t>
  </si>
  <si>
    <t>35 847,50</t>
  </si>
  <si>
    <t>1 250 000,00</t>
  </si>
  <si>
    <t>937 500,00</t>
  </si>
  <si>
    <t>Školní stravování při předšk.a zákl.vzdělávání</t>
  </si>
  <si>
    <t>1 104 855,92</t>
  </si>
  <si>
    <t>3231</t>
  </si>
  <si>
    <t>6 000,00</t>
  </si>
  <si>
    <t>Základní umělecké školy</t>
  </si>
  <si>
    <t>3313</t>
  </si>
  <si>
    <t>5011</t>
  </si>
  <si>
    <t>Platy zaměstnanců v pracovním poměru</t>
  </si>
  <si>
    <t>292 000,00</t>
  </si>
  <si>
    <t>365 688,00</t>
  </si>
  <si>
    <t>5021</t>
  </si>
  <si>
    <t>Ostatní osobní výdaje</t>
  </si>
  <si>
    <t>37 032,00</t>
  </si>
  <si>
    <t>5031</t>
  </si>
  <si>
    <t>Povinné poj.na soc.zab.a přísp.na st.pol.zaměstnan</t>
  </si>
  <si>
    <t>73 000,00</t>
  </si>
  <si>
    <t>99 519,00</t>
  </si>
  <si>
    <t>5032</t>
  </si>
  <si>
    <t>Povinné poj.na veřejné zdravotní pojištění</t>
  </si>
  <si>
    <t>27 000,00</t>
  </si>
  <si>
    <t>35 264,00</t>
  </si>
  <si>
    <t>5038</t>
  </si>
  <si>
    <t>Povinné pojistné na úrazové pojištění</t>
  </si>
  <si>
    <t>3 000,00</t>
  </si>
  <si>
    <t>3 255,00</t>
  </si>
  <si>
    <t>5136</t>
  </si>
  <si>
    <t>Knihy, učební pomůcky a tisk</t>
  </si>
  <si>
    <t>850,00</t>
  </si>
  <si>
    <t>5137</t>
  </si>
  <si>
    <t>Drobný hmotný dlouhodobý majetek</t>
  </si>
  <si>
    <t>5139</t>
  </si>
  <si>
    <t>Nákup materiálu j.n.</t>
  </si>
  <si>
    <t>2 000,00</t>
  </si>
  <si>
    <t>7 438,45</t>
  </si>
  <si>
    <t>4 000,00</t>
  </si>
  <si>
    <t>3 984,00</t>
  </si>
  <si>
    <t>133 000,00</t>
  </si>
  <si>
    <t>157 149,12</t>
  </si>
  <si>
    <t>47 000,00</t>
  </si>
  <si>
    <t>35 600,00</t>
  </si>
  <si>
    <t>5161</t>
  </si>
  <si>
    <t>Služby pošt</t>
  </si>
  <si>
    <t>588,00</t>
  </si>
  <si>
    <t>5162</t>
  </si>
  <si>
    <t>Služby telekomunikací a radiokomunikací</t>
  </si>
  <si>
    <t>26 000,00</t>
  </si>
  <si>
    <t>22 383,00</t>
  </si>
  <si>
    <t>5167</t>
  </si>
  <si>
    <t>Služby školení a vzdělávání</t>
  </si>
  <si>
    <t>1 000,00</t>
  </si>
  <si>
    <t>360,00</t>
  </si>
  <si>
    <t>9 000,00</t>
  </si>
  <si>
    <t>4 505,00</t>
  </si>
  <si>
    <t>30 000,00</t>
  </si>
  <si>
    <t>32 604,80</t>
  </si>
  <si>
    <t>5181</t>
  </si>
  <si>
    <t>Poskytnuté zálohy vnitřním organizačním jednotkám</t>
  </si>
  <si>
    <t>5424</t>
  </si>
  <si>
    <t>Náhrady mezd v době nemoci</t>
  </si>
  <si>
    <t>11 058,00</t>
  </si>
  <si>
    <t>Film.tvorba,distribuce, kina a shrom.audio archiv.</t>
  </si>
  <si>
    <t>620 000,00</t>
  </si>
  <si>
    <t>681 000,00</t>
  </si>
  <si>
    <t>823 278,37</t>
  </si>
  <si>
    <t>1 252 000,00</t>
  </si>
  <si>
    <t>901 398,00</t>
  </si>
  <si>
    <t>21 911,00</t>
  </si>
  <si>
    <t>313 000,00</t>
  </si>
  <si>
    <t>231 124,00</t>
  </si>
  <si>
    <t>113 000,00</t>
  </si>
  <si>
    <t>83 196,00</t>
  </si>
  <si>
    <t>5 000,00</t>
  </si>
  <si>
    <t>4 590,00</t>
  </si>
  <si>
    <t>291 000,00</t>
  </si>
  <si>
    <t>343 600,00</t>
  </si>
  <si>
    <t>252 388,40</t>
  </si>
  <si>
    <t>15 000,00</t>
  </si>
  <si>
    <t>1 730,00</t>
  </si>
  <si>
    <t>25 559,00</t>
  </si>
  <si>
    <t>103 000,00</t>
  </si>
  <si>
    <t>80 270,83</t>
  </si>
  <si>
    <t>66 000,00</t>
  </si>
  <si>
    <t>56 374,00</t>
  </si>
  <si>
    <t>357,00</t>
  </si>
  <si>
    <t>9 228,00</t>
  </si>
  <si>
    <t>800,00</t>
  </si>
  <si>
    <t>55 000,00</t>
  </si>
  <si>
    <t>81 000,00</t>
  </si>
  <si>
    <t>66 601,28</t>
  </si>
  <si>
    <t>24 000,00</t>
  </si>
  <si>
    <t>56 000,00</t>
  </si>
  <si>
    <t>56 046,60</t>
  </si>
  <si>
    <t>7 000,00</t>
  </si>
  <si>
    <t>25 000,00</t>
  </si>
  <si>
    <t>4 503,00</t>
  </si>
  <si>
    <t>2 310 000,00</t>
  </si>
  <si>
    <t>2 420 600,00</t>
  </si>
  <si>
    <t>1 803 077,11</t>
  </si>
  <si>
    <t>542 000,00</t>
  </si>
  <si>
    <t>565 913,00</t>
  </si>
  <si>
    <t>54 000,00</t>
  </si>
  <si>
    <t>30 145,00</t>
  </si>
  <si>
    <t>135 000,00</t>
  </si>
  <si>
    <t>141 786,00</t>
  </si>
  <si>
    <t>49 000,00</t>
  </si>
  <si>
    <t>51 038,00</t>
  </si>
  <si>
    <t>3 522,00</t>
  </si>
  <si>
    <t>83 000,00</t>
  </si>
  <si>
    <t>130 709,68</t>
  </si>
  <si>
    <t>48 441,10</t>
  </si>
  <si>
    <t>98 000,00</t>
  </si>
  <si>
    <t>125 692,00</t>
  </si>
  <si>
    <t>35 000,00</t>
  </si>
  <si>
    <t>130 093,00</t>
  </si>
  <si>
    <t>21 572,56</t>
  </si>
  <si>
    <t>8 000,00</t>
  </si>
  <si>
    <t>12 600,00</t>
  </si>
  <si>
    <t>720,00</t>
  </si>
  <si>
    <t>467 000,00</t>
  </si>
  <si>
    <t>516 500,00</t>
  </si>
  <si>
    <t>523 754,68</t>
  </si>
  <si>
    <t>340 000,00</t>
  </si>
  <si>
    <t>278 000,00</t>
  </si>
  <si>
    <t>26 648,00</t>
  </si>
  <si>
    <t>5175</t>
  </si>
  <si>
    <t>Pohoštění</t>
  </si>
  <si>
    <t>2 509,00</t>
  </si>
  <si>
    <t>1 963 000,00</t>
  </si>
  <si>
    <t>1 958 500,00</t>
  </si>
  <si>
    <t>1 817 144,02</t>
  </si>
  <si>
    <t>3419</t>
  </si>
  <si>
    <t>5192</t>
  </si>
  <si>
    <t>Poskytnuté neinvestiční příspěvky a náhrady (část)</t>
  </si>
  <si>
    <t>138 100,00</t>
  </si>
  <si>
    <t>5222</t>
  </si>
  <si>
    <t>Neinvestiční transfery občanským sdružením</t>
  </si>
  <si>
    <t>11 500,00</t>
  </si>
  <si>
    <t>106 000,00</t>
  </si>
  <si>
    <t>5229</t>
  </si>
  <si>
    <t>Ostatní neinv.transfery nezisk.a podob.organizacím</t>
  </si>
  <si>
    <t>9 300,00</t>
  </si>
  <si>
    <t>6322</t>
  </si>
  <si>
    <t>Investiční transfery občanským sdružením</t>
  </si>
  <si>
    <t>180 500,00</t>
  </si>
  <si>
    <t>920 803,00</t>
  </si>
  <si>
    <t>330 100,00</t>
  </si>
  <si>
    <t>1 036 103,00</t>
  </si>
  <si>
    <t>3421</t>
  </si>
  <si>
    <t>17 000,00</t>
  </si>
  <si>
    <t>17 200,00</t>
  </si>
  <si>
    <t>74 000,00</t>
  </si>
  <si>
    <t>12 390,00</t>
  </si>
  <si>
    <t>Využití volného času dětí a mládeže</t>
  </si>
  <si>
    <t>91 000,00</t>
  </si>
  <si>
    <t>29 590,00</t>
  </si>
  <si>
    <t>3539</t>
  </si>
  <si>
    <t>2 019,00</t>
  </si>
  <si>
    <t>1 602 000,00</t>
  </si>
  <si>
    <t>977 742,50</t>
  </si>
  <si>
    <t>Ostatní zdravotnická zaříz.a služby pro zdravot.</t>
  </si>
  <si>
    <t>979 761,50</t>
  </si>
  <si>
    <t>3541</t>
  </si>
  <si>
    <t>18 400,00</t>
  </si>
  <si>
    <t>Prevence před drogami, alk.,nikot.aj. návyk.lát.</t>
  </si>
  <si>
    <t>3612</t>
  </si>
  <si>
    <t>42 350,00</t>
  </si>
  <si>
    <t>32 102,00</t>
  </si>
  <si>
    <t>5 500 000,00</t>
  </si>
  <si>
    <t>5 936 900,00</t>
  </si>
  <si>
    <t>7 636 813,40</t>
  </si>
  <si>
    <t>Bytové hospodářství</t>
  </si>
  <si>
    <t>7 711 265,40</t>
  </si>
  <si>
    <t>3632</t>
  </si>
  <si>
    <t>2 160,00</t>
  </si>
  <si>
    <t>Pohřebnictví</t>
  </si>
  <si>
    <t>3636</t>
  </si>
  <si>
    <t>3 000 000,00</t>
  </si>
  <si>
    <t>3 360 000,00</t>
  </si>
  <si>
    <t>420 475,00</t>
  </si>
  <si>
    <t>Územní rozvoj</t>
  </si>
  <si>
    <t>3639</t>
  </si>
  <si>
    <t>7 300 000,00</t>
  </si>
  <si>
    <t>6 075 000,00</t>
  </si>
  <si>
    <t>Komunální služby a územní rozvoj j.n.</t>
  </si>
  <si>
    <t>4 000 000,00</t>
  </si>
  <si>
    <t>3 335 000,00</t>
  </si>
  <si>
    <t>3745</t>
  </si>
  <si>
    <t>168 000,00</t>
  </si>
  <si>
    <t>168 033,92</t>
  </si>
  <si>
    <t>153 200,00</t>
  </si>
  <si>
    <t>112 808,80</t>
  </si>
  <si>
    <t>Péče o vzhled obcí a veřejnou zeleň</t>
  </si>
  <si>
    <t>421 200,00</t>
  </si>
  <si>
    <t>280 842,72</t>
  </si>
  <si>
    <t>4319</t>
  </si>
  <si>
    <t>5194</t>
  </si>
  <si>
    <t>Věcné dary</t>
  </si>
  <si>
    <t>46 000,00</t>
  </si>
  <si>
    <t>Ostatní výdaje související se sociál.poradenstvím</t>
  </si>
  <si>
    <t>4329</t>
  </si>
  <si>
    <t>13 000,00</t>
  </si>
  <si>
    <t>5 302,00</t>
  </si>
  <si>
    <t>92 440,00</t>
  </si>
  <si>
    <t>Ostatní sociální péče a pomoc dětem a mládeži</t>
  </si>
  <si>
    <t>41 000,00</t>
  </si>
  <si>
    <t>97 742,00</t>
  </si>
  <si>
    <t>1 829 000,00</t>
  </si>
  <si>
    <t>2 309 000,00</t>
  </si>
  <si>
    <t>1 971 602,00</t>
  </si>
  <si>
    <t>576 000,00</t>
  </si>
  <si>
    <t>504 874,00</t>
  </si>
  <si>
    <t>456 000,00</t>
  </si>
  <si>
    <t>207 000,00</t>
  </si>
  <si>
    <t>181 737,00</t>
  </si>
  <si>
    <t>10 819,00</t>
  </si>
  <si>
    <t>5134</t>
  </si>
  <si>
    <t>Prádlo, oděv a obuv</t>
  </si>
  <si>
    <t>6 302,00</t>
  </si>
  <si>
    <t>230,00</t>
  </si>
  <si>
    <t>35 419,00</t>
  </si>
  <si>
    <t>121 000,00</t>
  </si>
  <si>
    <t>78 119,00</t>
  </si>
  <si>
    <t>5141</t>
  </si>
  <si>
    <t>Úroky vlastní</t>
  </si>
  <si>
    <t>11 653,67</t>
  </si>
  <si>
    <t>8 605,00</t>
  </si>
  <si>
    <t>62 000,00</t>
  </si>
  <si>
    <t>88 000,00</t>
  </si>
  <si>
    <t>124 183,00</t>
  </si>
  <si>
    <t>52 000,00</t>
  </si>
  <si>
    <t>11 724,00</t>
  </si>
  <si>
    <t>5156</t>
  </si>
  <si>
    <t>Pohonné hmoty a maziva</t>
  </si>
  <si>
    <t>71 000,00</t>
  </si>
  <si>
    <t>71 465,63</t>
  </si>
  <si>
    <t>653,00</t>
  </si>
  <si>
    <t>64 000,00</t>
  </si>
  <si>
    <t>49 901,00</t>
  </si>
  <si>
    <t>5163</t>
  </si>
  <si>
    <t>Služby peněžních ústavů</t>
  </si>
  <si>
    <t>3 801,00</t>
  </si>
  <si>
    <t>14 000,00</t>
  </si>
  <si>
    <t>8 010,00</t>
  </si>
  <si>
    <t>449 000,00</t>
  </si>
  <si>
    <t>404 485,68</t>
  </si>
  <si>
    <t>80 000,00</t>
  </si>
  <si>
    <t>95 000,00</t>
  </si>
  <si>
    <t>84 843,00</t>
  </si>
  <si>
    <t>5173</t>
  </si>
  <si>
    <t>Cestovné (tuzemské i zahraniční)</t>
  </si>
  <si>
    <t>192,00</t>
  </si>
  <si>
    <t>5178</t>
  </si>
  <si>
    <t>Nájemné za nájem s právem koupě</t>
  </si>
  <si>
    <t>86 000,00</t>
  </si>
  <si>
    <t>84 207,23</t>
  </si>
  <si>
    <t>45 300,00</t>
  </si>
  <si>
    <t>9 678,00</t>
  </si>
  <si>
    <t>170 000,00</t>
  </si>
  <si>
    <t>170 326,19</t>
  </si>
  <si>
    <t>6122</t>
  </si>
  <si>
    <t>Stroje, přístroje a zařízení</t>
  </si>
  <si>
    <t>583 000,00</t>
  </si>
  <si>
    <t>583 200,00</t>
  </si>
  <si>
    <t>3 310 000,00</t>
  </si>
  <si>
    <t>5 023 300,00</t>
  </si>
  <si>
    <t>4 418 030,40</t>
  </si>
  <si>
    <t>4359</t>
  </si>
  <si>
    <t>11 208,00</t>
  </si>
  <si>
    <t>Ostatní služby a činnosti v oblasti sociální péče</t>
  </si>
  <si>
    <t>4375</t>
  </si>
  <si>
    <t>Nízkoprahová zařízení pro děti a mládež</t>
  </si>
  <si>
    <t>4379</t>
  </si>
  <si>
    <t>4 114,00</t>
  </si>
  <si>
    <t>154 764,00</t>
  </si>
  <si>
    <t>19 178,00</t>
  </si>
  <si>
    <t>Ostatní služby a činnosti v oblasti soc. prevence</t>
  </si>
  <si>
    <t>178 056,00</t>
  </si>
  <si>
    <t>5512</t>
  </si>
  <si>
    <t>114 000,00</t>
  </si>
  <si>
    <t>68 353,20</t>
  </si>
  <si>
    <t>29 994,85</t>
  </si>
  <si>
    <t>65 000,00</t>
  </si>
  <si>
    <t>59 497,60</t>
  </si>
  <si>
    <t>2 285,00</t>
  </si>
  <si>
    <t>92 000,00</t>
  </si>
  <si>
    <t>72 018,00</t>
  </si>
  <si>
    <t>18 000,00</t>
  </si>
  <si>
    <t>63 000,00</t>
  </si>
  <si>
    <t>30 786,72</t>
  </si>
  <si>
    <t>6 179,00</t>
  </si>
  <si>
    <t>4 840,00</t>
  </si>
  <si>
    <t>7 800,00</t>
  </si>
  <si>
    <t>7 610,00</t>
  </si>
  <si>
    <t>51 000,00</t>
  </si>
  <si>
    <t>105 300,00</t>
  </si>
  <si>
    <t>62 454,00</t>
  </si>
  <si>
    <t>146 000,00</t>
  </si>
  <si>
    <t>17 487,00</t>
  </si>
  <si>
    <t>Požární ochrana - dobrovolná část</t>
  </si>
  <si>
    <t>350 000,00</t>
  </si>
  <si>
    <t>676 100,00</t>
  </si>
  <si>
    <t>396 924,37</t>
  </si>
  <si>
    <t>6112</t>
  </si>
  <si>
    <t>5023</t>
  </si>
  <si>
    <t>Odměny členů zastupitelstva obcí a krajů</t>
  </si>
  <si>
    <t>2 085 000,00</t>
  </si>
  <si>
    <t>1 748 536,00</t>
  </si>
  <si>
    <t>1 260,00</t>
  </si>
  <si>
    <t>1 990,00</t>
  </si>
  <si>
    <t>17 286,00</t>
  </si>
  <si>
    <t>15 720,00</t>
  </si>
  <si>
    <t>448 000,00</t>
  </si>
  <si>
    <t>515 000,00</t>
  </si>
  <si>
    <t>319 619,00</t>
  </si>
  <si>
    <t>109 000,00</t>
  </si>
  <si>
    <t>108 000,00</t>
  </si>
  <si>
    <t>32 917,00</t>
  </si>
  <si>
    <t>40 000,00</t>
  </si>
  <si>
    <t>39 200,00</t>
  </si>
  <si>
    <t>27 667,40</t>
  </si>
  <si>
    <t>Zastupitelstva obcí</t>
  </si>
  <si>
    <t>2 707 000,00</t>
  </si>
  <si>
    <t>2 813 000,00</t>
  </si>
  <si>
    <t>2 204 195,40</t>
  </si>
  <si>
    <t>6114</t>
  </si>
  <si>
    <t>48 923,00</t>
  </si>
  <si>
    <t>Volby do Parlamentu ČR</t>
  </si>
  <si>
    <t>53 923,00</t>
  </si>
  <si>
    <t>6118</t>
  </si>
  <si>
    <t>108 902,00</t>
  </si>
  <si>
    <t>3 588,85</t>
  </si>
  <si>
    <t>12 000,00</t>
  </si>
  <si>
    <t>11 698,28</t>
  </si>
  <si>
    <t>30 163,60</t>
  </si>
  <si>
    <t>106 200,00</t>
  </si>
  <si>
    <t>113 798,00</t>
  </si>
  <si>
    <t>424,00</t>
  </si>
  <si>
    <t>Volba prezidenta republiky</t>
  </si>
  <si>
    <t>261 200,00</t>
  </si>
  <si>
    <t>268 574,73</t>
  </si>
  <si>
    <t>20 866 000,00</t>
  </si>
  <si>
    <t>21 536 100,00</t>
  </si>
  <si>
    <t>17 216 691,00</t>
  </si>
  <si>
    <t>120 000,00</t>
  </si>
  <si>
    <t>190 000,00</t>
  </si>
  <si>
    <t>193 946,00</t>
  </si>
  <si>
    <t>5 448 000,00</t>
  </si>
  <si>
    <t>5 514 000,00</t>
  </si>
  <si>
    <t>4 718 341,00</t>
  </si>
  <si>
    <t>2 157 000,00</t>
  </si>
  <si>
    <t>2 286 500,00</t>
  </si>
  <si>
    <t>1 732 857,00</t>
  </si>
  <si>
    <t>102 188,00</t>
  </si>
  <si>
    <t>23 220,00</t>
  </si>
  <si>
    <t>506 000,00</t>
  </si>
  <si>
    <t>569 000,00</t>
  </si>
  <si>
    <t>487 688,35</t>
  </si>
  <si>
    <t>708 000,00</t>
  </si>
  <si>
    <t>819 000,00</t>
  </si>
  <si>
    <t>781 553,48</t>
  </si>
  <si>
    <t>93 193,00</t>
  </si>
  <si>
    <t>594 000,00</t>
  </si>
  <si>
    <t>603 777,38</t>
  </si>
  <si>
    <t>265 000,00</t>
  </si>
  <si>
    <t>211 641,00</t>
  </si>
  <si>
    <t>93 000,00</t>
  </si>
  <si>
    <t>105 000,00</t>
  </si>
  <si>
    <t>86 089,43</t>
  </si>
  <si>
    <t>342 000,00</t>
  </si>
  <si>
    <t>300 106,00</t>
  </si>
  <si>
    <t>471 000,00</t>
  </si>
  <si>
    <t>375 810,19</t>
  </si>
  <si>
    <t>483 000,00</t>
  </si>
  <si>
    <t>493 326,00</t>
  </si>
  <si>
    <t>32 000,00</t>
  </si>
  <si>
    <t>33 025,00</t>
  </si>
  <si>
    <t>5166</t>
  </si>
  <si>
    <t>Konzultační, poradenské a právní služby</t>
  </si>
  <si>
    <t>554 000,00</t>
  </si>
  <si>
    <t>496 950,00</t>
  </si>
  <si>
    <t>426 000,00</t>
  </si>
  <si>
    <t>522 000,00</t>
  </si>
  <si>
    <t>348 341,50</t>
  </si>
  <si>
    <t>7 242 000,00</t>
  </si>
  <si>
    <t>6 678 700,00</t>
  </si>
  <si>
    <t>4 255 957,83</t>
  </si>
  <si>
    <t>505 000,00</t>
  </si>
  <si>
    <t>186 419,10</t>
  </si>
  <si>
    <t>5172</t>
  </si>
  <si>
    <t>Programové vybavení</t>
  </si>
  <si>
    <t>115 000,00</t>
  </si>
  <si>
    <t>71 779,00</t>
  </si>
  <si>
    <t>10 762,00</t>
  </si>
  <si>
    <t>23 000,00</t>
  </si>
  <si>
    <t>5182</t>
  </si>
  <si>
    <t>Poskytované zálohy vlastní pokladně</t>
  </si>
  <si>
    <t>122 937,00</t>
  </si>
  <si>
    <t>944 000,00</t>
  </si>
  <si>
    <t>67 500,00</t>
  </si>
  <si>
    <t>5195</t>
  </si>
  <si>
    <t>Odvody za neplnění povinn. zaměst. zdrav. postiž.</t>
  </si>
  <si>
    <t>123 000,00</t>
  </si>
  <si>
    <t>41 494,00</t>
  </si>
  <si>
    <t>5213</t>
  </si>
  <si>
    <t>Neinv.transfery nefin.podnik.subjektům-práv.osobám</t>
  </si>
  <si>
    <t>472 000,00</t>
  </si>
  <si>
    <t>5223</t>
  </si>
  <si>
    <t>Neinv.transfery církvím a naboženským společnostem</t>
  </si>
  <si>
    <t>17 500,00</t>
  </si>
  <si>
    <t>117 900,00</t>
  </si>
  <si>
    <t>5361</t>
  </si>
  <si>
    <t>Nákup kolků</t>
  </si>
  <si>
    <t>4 500,00</t>
  </si>
  <si>
    <t>5362</t>
  </si>
  <si>
    <t>Platby daní a poplatků státnímu rozpočtu</t>
  </si>
  <si>
    <t>2 500,00</t>
  </si>
  <si>
    <t>5363</t>
  </si>
  <si>
    <t>Úhrady sankcí jiným rozpočtům</t>
  </si>
  <si>
    <t>87 237,00</t>
  </si>
  <si>
    <t>5492</t>
  </si>
  <si>
    <t>Dary obyvatelstvu</t>
  </si>
  <si>
    <t>897 900,00</t>
  </si>
  <si>
    <t>5660</t>
  </si>
  <si>
    <t>Neinvestiční půjčené prostředky obyvatelstvu</t>
  </si>
  <si>
    <t>90 000,00</t>
  </si>
  <si>
    <t>5909</t>
  </si>
  <si>
    <t>Ostatní neinvestiční výdaje j.n.</t>
  </si>
  <si>
    <t>898 000,00</t>
  </si>
  <si>
    <t>826 576,00</t>
  </si>
  <si>
    <t>6111</t>
  </si>
  <si>
    <t>279 000,00</t>
  </si>
  <si>
    <t>1 500 000,00</t>
  </si>
  <si>
    <t>1 718 000,00</t>
  </si>
  <si>
    <t>1 774 033,76</t>
  </si>
  <si>
    <t>261 000,00</t>
  </si>
  <si>
    <t>6125</t>
  </si>
  <si>
    <t>Výpočetní technika</t>
  </si>
  <si>
    <t>2 000 000,00</t>
  </si>
  <si>
    <t>398 000,00</t>
  </si>
  <si>
    <t>1 400 000,00</t>
  </si>
  <si>
    <t>800 000,00</t>
  </si>
  <si>
    <t>48 698 000,00</t>
  </si>
  <si>
    <t>48 310 200,00</t>
  </si>
  <si>
    <t>37 432 840,02</t>
  </si>
  <si>
    <t>478,50</t>
  </si>
  <si>
    <t>6330</t>
  </si>
  <si>
    <t>5342</t>
  </si>
  <si>
    <t>Převody FKSP a sociálnímu fondu obcí a krajů</t>
  </si>
  <si>
    <t>1 048 000,00</t>
  </si>
  <si>
    <t>721 140,00</t>
  </si>
  <si>
    <t>5345</t>
  </si>
  <si>
    <t>Převody vlastním rozpočtovým účtům</t>
  </si>
  <si>
    <t>90 001 000,00</t>
  </si>
  <si>
    <t>69 146 939,34</t>
  </si>
  <si>
    <t>Převody vlastním fondům v rozpočtech územní úrovně</t>
  </si>
  <si>
    <t>69 868 079,34</t>
  </si>
  <si>
    <t>ROZPOČTOVÉ VÝDAJE CELKEM</t>
  </si>
  <si>
    <t>190 460 600,00</t>
  </si>
  <si>
    <t>151 837 171,17</t>
  </si>
  <si>
    <t>III. FINANCOVÁNÍ - třída 8</t>
  </si>
  <si>
    <t>SR 2013</t>
  </si>
  <si>
    <t>UR 10/2013</t>
  </si>
  <si>
    <t>k 28/11/2013</t>
  </si>
  <si>
    <t>4399</t>
  </si>
  <si>
    <t xml:space="preserve">      0,00</t>
  </si>
  <si>
    <t>196 000,00</t>
  </si>
  <si>
    <t>služby</t>
  </si>
  <si>
    <t>UR 11,12/2013</t>
  </si>
  <si>
    <t>úprava 11/2013</t>
  </si>
  <si>
    <t>Výdaje: chybí (+)                        rezerva (-)</t>
  </si>
  <si>
    <t>NR 2014</t>
  </si>
  <si>
    <t xml:space="preserve"> Pěstounská péče</t>
  </si>
  <si>
    <t>Poskytnuté neinvest.příspěvky a náhrady (část) Účel.neinv.dot z odvodu za VHP</t>
  </si>
  <si>
    <t>Neinvestiční transfery občanským sdružením Účel.neinv.dot z odvodu za VHP</t>
  </si>
  <si>
    <t>Ostatní neinv.transfery nezisk.apod.organizacím Účel.neinv.dot z odvodu za VHP</t>
  </si>
  <si>
    <t>Investiční transfery občanským sdružením Účel.neinv.dot z odvodu za VHP</t>
  </si>
  <si>
    <t>Poskytnuté neinvest.příspěvky a náhrady (část) Povodňový fond MČ P 16</t>
  </si>
  <si>
    <t>N Á V R H    R O Z P O Č T U    Městské části Praha 16  na  r o k   2 0 1 4</t>
  </si>
  <si>
    <r>
      <t>Ostatní tělových.činnost   př</t>
    </r>
    <r>
      <rPr>
        <sz val="8"/>
        <rFont val="Arial"/>
        <family val="2"/>
      </rPr>
      <t xml:space="preserve">esun z 6171 </t>
    </r>
    <r>
      <rPr>
        <i/>
        <sz val="7"/>
        <rFont val="Arial"/>
        <family val="2"/>
      </rPr>
      <t>pol 5229 400-179=221</t>
    </r>
  </si>
  <si>
    <t>V Ý D A J E</t>
  </si>
  <si>
    <t>P Ř Í J M Y</t>
  </si>
  <si>
    <t>R 2013</t>
  </si>
  <si>
    <t>Návrh UR 2013</t>
  </si>
  <si>
    <t>UR stát, HMP</t>
  </si>
  <si>
    <r>
      <t xml:space="preserve">předpoklad </t>
    </r>
    <r>
      <rPr>
        <sz val="9"/>
        <rFont val="Arial"/>
        <family val="0"/>
      </rPr>
      <t>12/2013</t>
    </r>
  </si>
  <si>
    <t>Návrh rozpočtu 2014</t>
  </si>
  <si>
    <t>3636 územní rozvoj</t>
  </si>
  <si>
    <t>kontejn 1.800</t>
  </si>
  <si>
    <r>
      <t xml:space="preserve">   DPPO 2012 3636</t>
    </r>
    <r>
      <rPr>
        <sz val="7"/>
        <color indexed="12"/>
        <rFont val="Arial"/>
        <family val="2"/>
      </rPr>
      <t xml:space="preserve"> Lávka Nám.Osv</t>
    </r>
  </si>
  <si>
    <t>3639 komun.služby</t>
  </si>
  <si>
    <t>01  Ú Z E M N Í  R O Z V O J</t>
  </si>
  <si>
    <t>3421 dětská hřiště</t>
  </si>
  <si>
    <r>
      <t>2310</t>
    </r>
    <r>
      <rPr>
        <sz val="8"/>
        <rFont val="Arial"/>
        <family val="0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0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0"/>
      </rPr>
      <t xml:space="preserve"> odpady</t>
    </r>
  </si>
  <si>
    <t>3745 veřejná zeleň</t>
  </si>
  <si>
    <r>
      <t xml:space="preserve">   DPPO 2012 3745</t>
    </r>
    <r>
      <rPr>
        <sz val="7"/>
        <color indexed="12"/>
        <rFont val="Arial"/>
        <family val="2"/>
      </rPr>
      <t xml:space="preserve"> Květin.mobiliář</t>
    </r>
  </si>
  <si>
    <t>02   INFRASTRUKTURA</t>
  </si>
  <si>
    <t>2212 silnice</t>
  </si>
  <si>
    <t>přech Prvom 500 chodn Výpad 1.000</t>
  </si>
  <si>
    <t>2219 ost.zál.komun</t>
  </si>
  <si>
    <t>mostek Prv 800 lávkapB 1.500 HMP</t>
  </si>
  <si>
    <r>
      <t xml:space="preserve">  DPPO 2012 2339</t>
    </r>
    <r>
      <rPr>
        <sz val="7"/>
        <color indexed="12"/>
        <rFont val="Arial"/>
        <family val="2"/>
      </rPr>
      <t xml:space="preserve"> Mostky přes Radot.potok</t>
    </r>
  </si>
  <si>
    <t>03   D O P R A V A</t>
  </si>
  <si>
    <t>3111 mat.škola</t>
  </si>
  <si>
    <r>
      <t xml:space="preserve">  DPPO 2012 3111</t>
    </r>
    <r>
      <rPr>
        <sz val="7"/>
        <color indexed="12"/>
        <rFont val="Arial"/>
        <family val="2"/>
      </rPr>
      <t xml:space="preserve"> MŠ dovyb.kuch+zateplení</t>
    </r>
  </si>
  <si>
    <t>3113 zákl.škola</t>
  </si>
  <si>
    <t>nádv ZŠ HMP</t>
  </si>
  <si>
    <t>4121 dotace HMP:</t>
  </si>
  <si>
    <r>
      <t xml:space="preserve"> DPPO 2012 3113</t>
    </r>
    <r>
      <rPr>
        <sz val="7"/>
        <color indexed="12"/>
        <rFont val="Arial"/>
        <family val="2"/>
      </rPr>
      <t xml:space="preserve"> ZŠ objekty služby a údržba</t>
    </r>
  </si>
  <si>
    <t>3141 škol.jídelna</t>
  </si>
  <si>
    <t>3231 zákl.uměl.</t>
  </si>
  <si>
    <t>04   Š K O L S T V Í</t>
  </si>
  <si>
    <t>4351/1,2 domy s peč.sl</t>
  </si>
  <si>
    <r>
      <t xml:space="preserve"> DPPO 2012 4351</t>
    </r>
    <r>
      <rPr>
        <sz val="7"/>
        <color indexed="12"/>
        <rFont val="Arial"/>
        <family val="2"/>
      </rPr>
      <t xml:space="preserve"> PS zázemí+SZ dovybavení</t>
    </r>
  </si>
  <si>
    <r>
      <t xml:space="preserve"> 4351/2 NDPS</t>
    </r>
    <r>
      <rPr>
        <sz val="8"/>
        <color indexed="12"/>
        <rFont val="Arial"/>
        <family val="2"/>
      </rPr>
      <t xml:space="preserve"> údržba</t>
    </r>
    <r>
      <rPr>
        <sz val="9"/>
        <color indexed="12"/>
        <rFont val="Arial"/>
        <family val="0"/>
      </rPr>
      <t xml:space="preserve"> </t>
    </r>
    <r>
      <rPr>
        <sz val="8"/>
        <color indexed="12"/>
        <rFont val="Arial"/>
        <family val="2"/>
      </rPr>
      <t>výnos z loterií</t>
    </r>
  </si>
  <si>
    <t>4351/4 přísp.stravné</t>
  </si>
  <si>
    <t>4351 peč.služba</t>
  </si>
  <si>
    <t xml:space="preserve">    soc. služby</t>
  </si>
  <si>
    <t xml:space="preserve">    prevence SO P 16</t>
  </si>
  <si>
    <t>3539 zdrav zařízení</t>
  </si>
  <si>
    <t>3541 prevence</t>
  </si>
  <si>
    <t>4185 za 2011</t>
  </si>
  <si>
    <t>4319 soc. péče</t>
  </si>
  <si>
    <t>4329 péče o mládež</t>
  </si>
  <si>
    <t>4359 ost.soc</t>
  </si>
  <si>
    <r>
      <t xml:space="preserve"> 4329 Péče o mládež </t>
    </r>
    <r>
      <rPr>
        <sz val="8"/>
        <color indexed="12"/>
        <rFont val="Arial"/>
        <family val="2"/>
      </rPr>
      <t>výnos z loterií</t>
    </r>
  </si>
  <si>
    <r>
      <t xml:space="preserve">  </t>
    </r>
    <r>
      <rPr>
        <sz val="9"/>
        <color indexed="20"/>
        <rFont val="Arial"/>
        <family val="2"/>
      </rPr>
      <t xml:space="preserve">4399 pěstounská péče                     </t>
    </r>
    <r>
      <rPr>
        <sz val="9"/>
        <rFont val="Arial"/>
        <family val="0"/>
      </rPr>
      <t>4359 péče soc.péče</t>
    </r>
  </si>
  <si>
    <r>
      <t xml:space="preserve">       4359 Péče </t>
    </r>
    <r>
      <rPr>
        <sz val="8"/>
        <color indexed="12"/>
        <rFont val="Arial"/>
        <family val="2"/>
      </rPr>
      <t>výnos z loterií</t>
    </r>
  </si>
  <si>
    <t>4379 péče o seniory</t>
  </si>
  <si>
    <t>HMP aktivity soc.služeb</t>
  </si>
  <si>
    <t>05    SOC. A  ZDRAV.</t>
  </si>
  <si>
    <t>3313 kino</t>
  </si>
  <si>
    <r>
      <t xml:space="preserve">   DPPO 2012 3313</t>
    </r>
    <r>
      <rPr>
        <sz val="7"/>
        <color indexed="12"/>
        <rFont val="Arial"/>
        <family val="2"/>
      </rPr>
      <t xml:space="preserve"> Kino údržba</t>
    </r>
  </si>
  <si>
    <t>3314 knihovna</t>
  </si>
  <si>
    <t>3319 kult.střed</t>
  </si>
  <si>
    <t>3319 kronika,letopis</t>
  </si>
  <si>
    <t>3319 kult.akce</t>
  </si>
  <si>
    <r>
      <t xml:space="preserve">  DPPO 2012 3319</t>
    </r>
    <r>
      <rPr>
        <sz val="7"/>
        <color indexed="12"/>
        <rFont val="Arial"/>
        <family val="2"/>
      </rPr>
      <t xml:space="preserve"> KS kulturní akce        .</t>
    </r>
  </si>
  <si>
    <r>
      <t xml:space="preserve">      3319 KS kult.akce </t>
    </r>
    <r>
      <rPr>
        <sz val="8"/>
        <color indexed="12"/>
        <rFont val="Arial"/>
        <family val="2"/>
      </rPr>
      <t>výnos z loterií</t>
    </r>
  </si>
  <si>
    <t>3412 sport.zař</t>
  </si>
  <si>
    <r>
      <t xml:space="preserve">   3421 Dětská hřiště </t>
    </r>
    <r>
      <rPr>
        <sz val="8"/>
        <color indexed="12"/>
        <rFont val="Arial"/>
        <family val="2"/>
      </rPr>
      <t>výnos z loterií</t>
    </r>
  </si>
  <si>
    <t>06    KULTURA  A  SPORT</t>
  </si>
  <si>
    <t>5512 dobrov.hasiči</t>
  </si>
  <si>
    <t>HMP přísp.na provoz</t>
  </si>
  <si>
    <t xml:space="preserve">          JSDH povodně</t>
  </si>
  <si>
    <t>HMP likvidace povodň.škod</t>
  </si>
  <si>
    <t>07    B E Z P E Č N O S T</t>
  </si>
  <si>
    <t>3612 bytové hosp.</t>
  </si>
  <si>
    <t>Sídl BD zatepl 4.500 radon ? start.byty 400</t>
  </si>
  <si>
    <r>
      <t xml:space="preserve">  DPPO 2012 3612</t>
    </r>
    <r>
      <rPr>
        <sz val="7"/>
        <color indexed="12"/>
        <rFont val="Arial"/>
        <family val="2"/>
      </rPr>
      <t xml:space="preserve"> BD 1061-63 zateplení</t>
    </r>
  </si>
  <si>
    <t>3639,3632 techn.sl</t>
  </si>
  <si>
    <t>08      HOSPODÁŘSTVÍ</t>
  </si>
  <si>
    <t>6112 ZMČ</t>
  </si>
  <si>
    <t>2141 úroky</t>
  </si>
  <si>
    <t>6171 úřad provoz</t>
  </si>
  <si>
    <t>4112 dotace stát:</t>
  </si>
  <si>
    <r>
      <t xml:space="preserve">   DPPO 2012 6171</t>
    </r>
    <r>
      <rPr>
        <sz val="7"/>
        <color indexed="12"/>
        <rFont val="Arial"/>
        <family val="2"/>
      </rPr>
      <t xml:space="preserve"> ÚMČ provoz</t>
    </r>
  </si>
  <si>
    <t xml:space="preserve">   výkon agendy SPOD</t>
  </si>
  <si>
    <t>4116 dotace stát:</t>
  </si>
  <si>
    <t xml:space="preserve">   zkoušky odb.způsob</t>
  </si>
  <si>
    <t xml:space="preserve">   likvidace povodň.škod</t>
  </si>
  <si>
    <t>6171 objekty 21,23,732</t>
  </si>
  <si>
    <t>2460 splátky půjček SFZ</t>
  </si>
  <si>
    <t>investiční akce</t>
  </si>
  <si>
    <t>čp.23 zatepl 500</t>
  </si>
  <si>
    <r>
      <t>221</t>
    </r>
    <r>
      <rPr>
        <sz val="8"/>
        <rFont val="Arial"/>
        <family val="2"/>
      </rPr>
      <t>2</t>
    </r>
    <r>
      <rPr>
        <sz val="8"/>
        <rFont val="Arial"/>
        <family val="0"/>
      </rPr>
      <t xml:space="preserve"> sankce</t>
    </r>
  </si>
  <si>
    <t>kulturní akce</t>
  </si>
  <si>
    <r>
      <t>dary</t>
    </r>
    <r>
      <rPr>
        <sz val="8"/>
        <rFont val="Arial"/>
        <family val="2"/>
      </rPr>
      <t xml:space="preserve"> 2321 neinv 3121 inv 4129 SO</t>
    </r>
  </si>
  <si>
    <r>
      <t xml:space="preserve"> DPPO 2012 6112</t>
    </r>
    <r>
      <rPr>
        <sz val="7"/>
        <color indexed="12"/>
        <rFont val="Arial"/>
        <family val="2"/>
      </rPr>
      <t xml:space="preserve"> MČ doprov.progr trhy</t>
    </r>
  </si>
  <si>
    <t>různé organizační</t>
  </si>
  <si>
    <t>2343 dobýv.prostor</t>
  </si>
  <si>
    <t>volby</t>
  </si>
  <si>
    <r>
      <t xml:space="preserve">2329 nahod </t>
    </r>
    <r>
      <rPr>
        <sz val="8"/>
        <rFont val="Arial"/>
        <family val="2"/>
      </rPr>
      <t>(z r. 2012), 2322 poj.pln</t>
    </r>
  </si>
  <si>
    <t>09   VNITŘNÍ  SPRÁVA</t>
  </si>
  <si>
    <t>1341-5,7,51 místní poplatky</t>
  </si>
  <si>
    <t>1361 správní poplatky</t>
  </si>
  <si>
    <t>1511 daň z nemovitostí</t>
  </si>
  <si>
    <t>4121 HMP dotace</t>
  </si>
  <si>
    <t>4121 výnos DPPO za 2012</t>
  </si>
  <si>
    <r>
      <t>4121 výnos loterie</t>
    </r>
    <r>
      <rPr>
        <sz val="7"/>
        <rFont val="Arial"/>
        <family val="2"/>
      </rPr>
      <t xml:space="preserve"> inkaso HMP 1-4/2013</t>
    </r>
  </si>
  <si>
    <t>4131 z účtu ekon.činnosti</t>
  </si>
  <si>
    <t xml:space="preserve">      Povodňový fond MČ</t>
  </si>
  <si>
    <t xml:space="preserve">FV 2012 doplatek loterie 3.Q 2012   </t>
  </si>
  <si>
    <t xml:space="preserve"> FV 2012</t>
  </si>
  <si>
    <t>10                              FINANCOVÁNÍ</t>
  </si>
  <si>
    <t>MČ CELKEM</t>
  </si>
  <si>
    <t xml:space="preserve"> rozdíl příjmů a výdajů = finanční vypořádání roku 2012:</t>
  </si>
  <si>
    <r>
      <t xml:space="preserve">  ZŠ objekty</t>
    </r>
    <r>
      <rPr>
        <sz val="8"/>
        <color indexed="12"/>
        <rFont val="Arial"/>
        <family val="2"/>
      </rPr>
      <t xml:space="preserve"> služby výnos z loterií</t>
    </r>
    <r>
      <rPr>
        <sz val="7"/>
        <color indexed="12"/>
        <rFont val="Arial"/>
        <family val="2"/>
      </rPr>
      <t xml:space="preserve"> dopl. 3Q 2012</t>
    </r>
  </si>
  <si>
    <t>Výnosy</t>
  </si>
  <si>
    <t>Náklady</t>
  </si>
  <si>
    <t>Prodej pozemků</t>
  </si>
  <si>
    <r>
      <t xml:space="preserve">Splátky domů </t>
    </r>
    <r>
      <rPr>
        <i/>
        <sz val="8"/>
        <rFont val="Arial CE"/>
        <family val="0"/>
      </rPr>
      <t>(výnosy let minulých - 2014 jen finanční plnění 248.022,00 Kč)</t>
    </r>
  </si>
  <si>
    <t>Materiál pro EČ+ BH</t>
  </si>
  <si>
    <t>Energie,vodné,služby EČ+BH</t>
  </si>
  <si>
    <r>
      <t>Opravy a ostatní služby</t>
    </r>
    <r>
      <rPr>
        <i/>
        <sz val="8"/>
        <rFont val="Arial CE"/>
        <family val="0"/>
      </rPr>
      <t xml:space="preserve">                            v pronajím. NP, pozemcích,  bytech</t>
    </r>
  </si>
  <si>
    <t>Inzerce Novin ÚMČ 16</t>
  </si>
  <si>
    <r>
      <t>Noviny ÚMČ 16</t>
    </r>
    <r>
      <rPr>
        <i/>
        <sz val="8"/>
        <rFont val="Arial CE"/>
        <family val="0"/>
      </rPr>
      <t xml:space="preserve"> (cca 35% nákladů vč. vyčíslení mzd.nákladů)</t>
    </r>
  </si>
  <si>
    <t>Kino - vstupné</t>
  </si>
  <si>
    <t>Kino - (půjčovné,OSA, telefony)</t>
  </si>
  <si>
    <t>Kino - automat</t>
  </si>
  <si>
    <t>Kino - automat)</t>
  </si>
  <si>
    <t>Knihovna - automat</t>
  </si>
  <si>
    <t>Kniha o Radotínu</t>
  </si>
  <si>
    <t>KS - pronájem sálu</t>
  </si>
  <si>
    <t xml:space="preserve">       vstupné</t>
  </si>
  <si>
    <t>Peč.sl. - termonádoby</t>
  </si>
  <si>
    <t>Nebytové prostory</t>
  </si>
  <si>
    <t xml:space="preserve"> - pronájem NP,park.stání</t>
  </si>
  <si>
    <t xml:space="preserve"> - pronájem pozemky, rekl.panely</t>
  </si>
  <si>
    <t>Nájemné pozemků</t>
  </si>
  <si>
    <t xml:space="preserve"> </t>
  </si>
  <si>
    <t xml:space="preserve"> - pronájem byty</t>
  </si>
  <si>
    <t xml:space="preserve"> - pronájem NP</t>
  </si>
  <si>
    <t>Solární panely</t>
  </si>
  <si>
    <t>RZ Chroboly</t>
  </si>
  <si>
    <t>Chroboly - el.energie</t>
  </si>
  <si>
    <t xml:space="preserve">                 vodné</t>
  </si>
  <si>
    <t xml:space="preserve">                 kom. odpad</t>
  </si>
  <si>
    <t>Radotínský bál</t>
  </si>
  <si>
    <t>Fyzioterapeutické služby + rozvoz obědů</t>
  </si>
  <si>
    <t>Fyzioterapeutické služby</t>
  </si>
  <si>
    <t>Parkovací hodiny</t>
  </si>
  <si>
    <t>Havelské posvícení</t>
  </si>
  <si>
    <t>Burčákfest</t>
  </si>
  <si>
    <t>Farmářské trhy</t>
  </si>
  <si>
    <t>Hrobová místa - pronájem</t>
  </si>
  <si>
    <t>MMB-alarm</t>
  </si>
  <si>
    <r>
      <t xml:space="preserve">ÚMČ </t>
    </r>
    <r>
      <rPr>
        <b/>
        <i/>
        <sz val="8"/>
        <rFont val="Arial CE"/>
        <family val="0"/>
      </rPr>
      <t>(rozhlas, plakátování)</t>
    </r>
  </si>
  <si>
    <r>
      <t>ÚMČ</t>
    </r>
    <r>
      <rPr>
        <b/>
        <i/>
        <sz val="8"/>
        <rFont val="Arial CE"/>
        <family val="0"/>
      </rPr>
      <t xml:space="preserve"> (vyčíslení mzdových nákladů)</t>
    </r>
  </si>
  <si>
    <t>Úroky</t>
  </si>
  <si>
    <t>Penále</t>
  </si>
  <si>
    <t>Bankovní poplatky</t>
  </si>
  <si>
    <r>
      <t>Věcná břemena</t>
    </r>
    <r>
      <rPr>
        <i/>
        <sz val="8"/>
        <rFont val="Arial CE"/>
        <family val="0"/>
      </rPr>
      <t xml:space="preserve"> ?</t>
    </r>
  </si>
  <si>
    <t>Zapojení prostředků do rozpočtu MČ Praha 16</t>
  </si>
  <si>
    <t>Celkem</t>
  </si>
  <si>
    <t>Zpracovala</t>
  </si>
  <si>
    <t>V návrhu rozpočtu MČ na rok 2014 předkládá:</t>
  </si>
  <si>
    <t>Jitka Kuhtzová OE</t>
  </si>
  <si>
    <t>Marta Tišlová, ved. OE ÚMČ</t>
  </si>
  <si>
    <r>
      <t>Návrh rozpočtu MČ Praha 16 na rok 2014</t>
    </r>
    <r>
      <rPr>
        <sz val="9"/>
        <rFont val="Arial"/>
        <family val="0"/>
      </rPr>
      <t xml:space="preserve">
Číslo zastupitelstva: 17  usn. č. 6 ze dne 18.12.2013
1.   s c h v a l u j e    návrh rozpočtu Městské části Praha 16 na rok 2014 ve výši příjmů i výdajů 84.178,0 tis. Kč.
2.   s c h v a l u j e    rozpočtový výhled hospodaření Městské části Praha 16 do roku 2019.
3.   s c h v a l u j e    plán hospodaření hospodářské činnosti Městské části Praha 16 na rok 2014.
4.   s c h v a l u j e    návrh rozpočtu Sociálního fondu zaměstnanců Městské části Praha 16 na rok 2014</t>
    </r>
  </si>
  <si>
    <r>
      <t xml:space="preserve"> 4319 nezisk.org.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dopl. 3Q 2012+ 1-4/2013</t>
    </r>
  </si>
  <si>
    <t>Zůstatek 31.12.2013:</t>
  </si>
  <si>
    <t>příděl do SFZ 3% z mezd</t>
  </si>
  <si>
    <t>příspěvek na stravné 17,00 Kč/den</t>
  </si>
  <si>
    <t>půjčky:</t>
  </si>
  <si>
    <t>splátky půjček:</t>
  </si>
  <si>
    <t>paušální příspěvek:</t>
  </si>
  <si>
    <t>výročí:</t>
  </si>
  <si>
    <t>ostatní (vitamíny, očkování, …)</t>
  </si>
  <si>
    <t>celkem obrat 2014:</t>
  </si>
  <si>
    <t>Zůstatek 31.12.2014:</t>
  </si>
  <si>
    <t>v tis. Kč</t>
  </si>
  <si>
    <t>Název položky</t>
  </si>
  <si>
    <t>Skut.2004</t>
  </si>
  <si>
    <r>
      <t>Skut</t>
    </r>
    <r>
      <rPr>
        <b/>
        <sz val="9"/>
        <rFont val="Arial CE"/>
        <family val="2"/>
      </rPr>
      <t xml:space="preserve"> 2005</t>
    </r>
  </si>
  <si>
    <r>
      <t>Skut</t>
    </r>
    <r>
      <rPr>
        <b/>
        <sz val="9"/>
        <rFont val="Arial CE"/>
        <family val="2"/>
      </rPr>
      <t xml:space="preserve"> 2006</t>
    </r>
  </si>
  <si>
    <r>
      <t>Skut</t>
    </r>
    <r>
      <rPr>
        <b/>
        <sz val="9"/>
        <rFont val="Arial CE"/>
        <family val="2"/>
      </rPr>
      <t xml:space="preserve"> 2007</t>
    </r>
  </si>
  <si>
    <r>
      <t>Skut</t>
    </r>
    <r>
      <rPr>
        <b/>
        <sz val="9"/>
        <rFont val="Arial CE"/>
        <family val="2"/>
      </rPr>
      <t xml:space="preserve"> 2008</t>
    </r>
  </si>
  <si>
    <t>UR 2009</t>
  </si>
  <si>
    <t>Skut 2009</t>
  </si>
  <si>
    <t>Skut 2010</t>
  </si>
  <si>
    <r>
      <t xml:space="preserve">RV 2011 </t>
    </r>
    <r>
      <rPr>
        <b/>
        <sz val="7"/>
        <rFont val="Arial CE"/>
        <family val="2"/>
      </rPr>
      <t xml:space="preserve">                   </t>
    </r>
    <r>
      <rPr>
        <b/>
        <sz val="8"/>
        <rFont val="Arial CE"/>
        <family val="2"/>
      </rPr>
      <t>dle skut 2010</t>
    </r>
  </si>
  <si>
    <t>Schv R 2011</t>
  </si>
  <si>
    <t>UR 2011</t>
  </si>
  <si>
    <t>Skut 2011</t>
  </si>
  <si>
    <r>
      <t>RV 2012</t>
    </r>
    <r>
      <rPr>
        <b/>
        <sz val="8"/>
        <rFont val="Arial CE"/>
        <family val="0"/>
      </rPr>
      <t xml:space="preserve"> z SR 2011</t>
    </r>
  </si>
  <si>
    <t>UR 10/2012</t>
  </si>
  <si>
    <t>Skut 2012</t>
  </si>
  <si>
    <t>UR 2013</t>
  </si>
  <si>
    <t>NR 2013</t>
  </si>
  <si>
    <r>
      <t>RV 2013</t>
    </r>
    <r>
      <rPr>
        <b/>
        <sz val="8"/>
        <rFont val="Arial CE"/>
        <family val="0"/>
      </rPr>
      <t xml:space="preserve"> z RV 2012</t>
    </r>
  </si>
  <si>
    <r>
      <t>RV 2014</t>
    </r>
    <r>
      <rPr>
        <b/>
        <sz val="8"/>
        <rFont val="Arial CE"/>
        <family val="0"/>
      </rPr>
      <t xml:space="preserve"> z RV 2013</t>
    </r>
  </si>
  <si>
    <r>
      <t>RV 2015</t>
    </r>
    <r>
      <rPr>
        <b/>
        <sz val="8"/>
        <rFont val="Arial CE"/>
        <family val="0"/>
      </rPr>
      <t xml:space="preserve"> z RV 2014</t>
    </r>
  </si>
  <si>
    <r>
      <t>RV 2016</t>
    </r>
    <r>
      <rPr>
        <b/>
        <sz val="8"/>
        <rFont val="Arial CE"/>
        <family val="0"/>
      </rPr>
      <t xml:space="preserve"> z RV 2015</t>
    </r>
  </si>
  <si>
    <r>
      <t>RV 2017</t>
    </r>
    <r>
      <rPr>
        <b/>
        <sz val="8"/>
        <rFont val="Arial CE"/>
        <family val="0"/>
      </rPr>
      <t xml:space="preserve"> z RV 2016</t>
    </r>
  </si>
  <si>
    <r>
      <t>RV 2018</t>
    </r>
    <r>
      <rPr>
        <b/>
        <sz val="8"/>
        <rFont val="Arial CE"/>
        <family val="0"/>
      </rPr>
      <t xml:space="preserve"> z RV 2017</t>
    </r>
  </si>
  <si>
    <t>Daňové příjmy (po konsolidaci) - třída 1</t>
  </si>
  <si>
    <t>Nedaňové příjmy (po konsolidaci) třída 2</t>
  </si>
  <si>
    <t>Kapitálové příjmy (po konsolidaci) - třída 3</t>
  </si>
  <si>
    <t xml:space="preserve">Vlastní příjmy  </t>
  </si>
  <si>
    <t>Přijaté dotace (po konsolidaci) -třída 4</t>
  </si>
  <si>
    <t xml:space="preserve">Příjmy celkem </t>
  </si>
  <si>
    <t>Provozní výdaje - třída 5</t>
  </si>
  <si>
    <t>Kapitálové výdaje - třída 6</t>
  </si>
  <si>
    <t xml:space="preserve">Výdaje celkem </t>
  </si>
  <si>
    <r>
      <t xml:space="preserve">Výsledek hospodaření            </t>
    </r>
    <r>
      <rPr>
        <b/>
        <sz val="8"/>
        <rFont val="Arial CE"/>
        <family val="2"/>
      </rPr>
      <t>(- schodek, + přebytek)</t>
    </r>
  </si>
  <si>
    <t>Úhrada dlouhodobých fin. závazků</t>
  </si>
  <si>
    <r>
      <t xml:space="preserve">Tvorba rezerv dluhové služby - </t>
    </r>
    <r>
      <rPr>
        <sz val="8"/>
        <rFont val="Arial CE"/>
        <family val="2"/>
      </rPr>
      <t xml:space="preserve">třída 8-financování </t>
    </r>
  </si>
  <si>
    <t xml:space="preserve">Vytvořená rezerva na dluhovou službu celkem  </t>
  </si>
  <si>
    <t>Financování (FV 20xx)</t>
  </si>
  <si>
    <r>
      <t>NR 2013</t>
    </r>
    <r>
      <rPr>
        <b/>
        <sz val="8"/>
        <rFont val="Arial CE"/>
        <family val="0"/>
      </rPr>
      <t xml:space="preserve"> ze skut 2011</t>
    </r>
  </si>
  <si>
    <r>
      <t>NR 2013</t>
    </r>
    <r>
      <rPr>
        <b/>
        <sz val="8"/>
        <rFont val="Arial CE"/>
        <family val="0"/>
      </rPr>
      <t xml:space="preserve"> z UR 2012</t>
    </r>
  </si>
  <si>
    <r>
      <t>RV 2014</t>
    </r>
    <r>
      <rPr>
        <b/>
        <sz val="8"/>
        <rFont val="Arial CE"/>
        <family val="0"/>
      </rPr>
      <t xml:space="preserve"> z NR 2013</t>
    </r>
  </si>
  <si>
    <r>
      <t>RV 2015</t>
    </r>
    <r>
      <rPr>
        <b/>
        <sz val="8"/>
        <rFont val="Arial CE"/>
        <family val="2"/>
      </rPr>
      <t xml:space="preserve"> z NR 2014</t>
    </r>
  </si>
  <si>
    <r>
      <t>RV 2016</t>
    </r>
    <r>
      <rPr>
        <b/>
        <sz val="8"/>
        <rFont val="Arial CE"/>
        <family val="2"/>
      </rPr>
      <t xml:space="preserve"> z RV 2015</t>
    </r>
  </si>
  <si>
    <r>
      <t>RV 2017</t>
    </r>
    <r>
      <rPr>
        <b/>
        <sz val="8"/>
        <rFont val="Arial CE"/>
        <family val="2"/>
      </rPr>
      <t xml:space="preserve"> z RV 2016</t>
    </r>
  </si>
  <si>
    <r>
      <t>RV 2018</t>
    </r>
    <r>
      <rPr>
        <b/>
        <sz val="8"/>
        <rFont val="Arial CE"/>
        <family val="2"/>
      </rPr>
      <t xml:space="preserve"> z RV 2017</t>
    </r>
  </si>
  <si>
    <r>
      <t>RV 2019</t>
    </r>
    <r>
      <rPr>
        <b/>
        <sz val="8"/>
        <rFont val="Arial CE"/>
        <family val="2"/>
      </rPr>
      <t xml:space="preserve"> z RV 2018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</si>
</sst>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\ &quot;Kč&quot;"/>
  </numFmts>
  <fonts count="75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Times New Roman"/>
      <family val="1"/>
    </font>
    <font>
      <i/>
      <sz val="7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sz val="8"/>
      <color indexed="12"/>
      <name val="Arial"/>
      <family val="0"/>
    </font>
    <font>
      <sz val="7"/>
      <color indexed="12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sz val="7"/>
      <name val="Arial CE"/>
      <family val="0"/>
    </font>
    <font>
      <sz val="9"/>
      <color indexed="12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color indexed="20"/>
      <name val="Arial"/>
      <family val="2"/>
    </font>
    <font>
      <sz val="8"/>
      <color indexed="20"/>
      <name val="Arial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0"/>
    </font>
    <font>
      <b/>
      <i/>
      <sz val="12"/>
      <name val="Arial CE"/>
      <family val="2"/>
    </font>
    <font>
      <i/>
      <sz val="10"/>
      <color indexed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u val="single"/>
      <sz val="9"/>
      <name val="Arial CE"/>
      <family val="2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3" fontId="3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23" xfId="0" applyFont="1" applyFill="1" applyBorder="1" applyAlignment="1">
      <alignment wrapText="1"/>
    </xf>
    <xf numFmtId="4" fontId="5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wrapText="1"/>
    </xf>
    <xf numFmtId="0" fontId="14" fillId="0" borderId="21" xfId="0" applyNumberFormat="1" applyFont="1" applyFill="1" applyBorder="1" applyAlignment="1">
      <alignment horizontal="center" wrapText="1"/>
    </xf>
    <xf numFmtId="4" fontId="3" fillId="0" borderId="27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4" fillId="0" borderId="29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0" fontId="14" fillId="0" borderId="26" xfId="0" applyFont="1" applyFill="1" applyBorder="1" applyAlignment="1">
      <alignment wrapText="1"/>
    </xf>
    <xf numFmtId="167" fontId="0" fillId="0" borderId="21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wrapText="1"/>
    </xf>
    <xf numFmtId="0" fontId="2" fillId="0" borderId="28" xfId="0" applyFont="1" applyFill="1" applyBorder="1" applyAlignment="1">
      <alignment/>
    </xf>
    <xf numFmtId="167" fontId="15" fillId="0" borderId="20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right" wrapText="1"/>
    </xf>
    <xf numFmtId="4" fontId="2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0" fontId="18" fillId="34" borderId="26" xfId="0" applyFont="1" applyFill="1" applyBorder="1" applyAlignment="1">
      <alignment wrapText="1"/>
    </xf>
    <xf numFmtId="167" fontId="1" fillId="34" borderId="21" xfId="0" applyNumberFormat="1" applyFont="1" applyFill="1" applyBorder="1" applyAlignment="1">
      <alignment/>
    </xf>
    <xf numFmtId="167" fontId="1" fillId="34" borderId="21" xfId="0" applyNumberFormat="1" applyFont="1" applyFill="1" applyBorder="1" applyAlignment="1">
      <alignment/>
    </xf>
    <xf numFmtId="167" fontId="1" fillId="34" borderId="20" xfId="0" applyNumberFormat="1" applyFont="1" applyFill="1" applyBorder="1" applyAlignment="1">
      <alignment/>
    </xf>
    <xf numFmtId="167" fontId="1" fillId="34" borderId="29" xfId="0" applyNumberFormat="1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3" fontId="2" fillId="0" borderId="28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167" fontId="7" fillId="0" borderId="21" xfId="0" applyNumberFormat="1" applyFont="1" applyFill="1" applyBorder="1" applyAlignment="1">
      <alignment wrapText="1"/>
    </xf>
    <xf numFmtId="0" fontId="20" fillId="0" borderId="21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/>
    </xf>
    <xf numFmtId="167" fontId="19" fillId="0" borderId="29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21" fillId="0" borderId="26" xfId="0" applyFont="1" applyFill="1" applyBorder="1" applyAlignment="1">
      <alignment horizontal="right" wrapText="1"/>
    </xf>
    <xf numFmtId="3" fontId="22" fillId="0" borderId="28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167" fontId="2" fillId="0" borderId="21" xfId="0" applyNumberFormat="1" applyFont="1" applyFill="1" applyBorder="1" applyAlignment="1">
      <alignment wrapText="1"/>
    </xf>
    <xf numFmtId="0" fontId="1" fillId="34" borderId="21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167" fontId="15" fillId="0" borderId="21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/>
    </xf>
    <xf numFmtId="167" fontId="0" fillId="0" borderId="21" xfId="0" applyNumberFormat="1" applyFont="1" applyBorder="1" applyAlignment="1">
      <alignment/>
    </xf>
    <xf numFmtId="167" fontId="20" fillId="0" borderId="21" xfId="0" applyNumberFormat="1" applyFont="1" applyFill="1" applyBorder="1" applyAlignment="1">
      <alignment wrapText="1"/>
    </xf>
    <xf numFmtId="167" fontId="19" fillId="0" borderId="21" xfId="0" applyNumberFormat="1" applyFont="1" applyFill="1" applyBorder="1" applyAlignment="1">
      <alignment/>
    </xf>
    <xf numFmtId="167" fontId="23" fillId="0" borderId="20" xfId="0" applyNumberFormat="1" applyFont="1" applyFill="1" applyBorder="1" applyAlignment="1">
      <alignment/>
    </xf>
    <xf numFmtId="167" fontId="23" fillId="0" borderId="29" xfId="0" applyNumberFormat="1" applyFont="1" applyFill="1" applyBorder="1" applyAlignment="1">
      <alignment/>
    </xf>
    <xf numFmtId="3" fontId="20" fillId="0" borderId="28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 wrapText="1"/>
    </xf>
    <xf numFmtId="0" fontId="14" fillId="0" borderId="26" xfId="0" applyFont="1" applyFill="1" applyBorder="1" applyAlignment="1">
      <alignment/>
    </xf>
    <xf numFmtId="167" fontId="15" fillId="0" borderId="29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167" fontId="19" fillId="35" borderId="21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 wrapText="1"/>
    </xf>
    <xf numFmtId="167" fontId="19" fillId="0" borderId="21" xfId="0" applyNumberFormat="1" applyFont="1" applyFill="1" applyBorder="1" applyAlignment="1">
      <alignment wrapText="1"/>
    </xf>
    <xf numFmtId="3" fontId="3" fillId="0" borderId="28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4" fontId="2" fillId="0" borderId="21" xfId="0" applyNumberFormat="1" applyFont="1" applyFill="1" applyBorder="1" applyAlignment="1">
      <alignment wrapText="1"/>
    </xf>
    <xf numFmtId="167" fontId="25" fillId="0" borderId="0" xfId="0" applyNumberFormat="1" applyFont="1" applyAlignment="1">
      <alignment/>
    </xf>
    <xf numFmtId="3" fontId="22" fillId="0" borderId="21" xfId="0" applyNumberFormat="1" applyFont="1" applyFill="1" applyBorder="1" applyAlignment="1">
      <alignment/>
    </xf>
    <xf numFmtId="167" fontId="19" fillId="0" borderId="20" xfId="0" applyNumberFormat="1" applyFont="1" applyFill="1" applyBorder="1" applyAlignment="1">
      <alignment wrapText="1"/>
    </xf>
    <xf numFmtId="167" fontId="19" fillId="0" borderId="29" xfId="0" applyNumberFormat="1" applyFont="1" applyFill="1" applyBorder="1" applyAlignment="1">
      <alignment wrapText="1"/>
    </xf>
    <xf numFmtId="167" fontId="26" fillId="0" borderId="28" xfId="0" applyNumberFormat="1" applyFont="1" applyFill="1" applyBorder="1" applyAlignment="1">
      <alignment horizontal="right" wrapText="1"/>
    </xf>
    <xf numFmtId="4" fontId="14" fillId="0" borderId="21" xfId="0" applyNumberFormat="1" applyFont="1" applyBorder="1" applyAlignment="1">
      <alignment/>
    </xf>
    <xf numFmtId="167" fontId="26" fillId="0" borderId="28" xfId="0" applyNumberFormat="1" applyFont="1" applyFill="1" applyBorder="1" applyAlignment="1">
      <alignment wrapText="1"/>
    </xf>
    <xf numFmtId="167" fontId="0" fillId="0" borderId="20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0" fontId="18" fillId="35" borderId="30" xfId="0" applyFont="1" applyFill="1" applyBorder="1" applyAlignment="1">
      <alignment wrapText="1"/>
    </xf>
    <xf numFmtId="167" fontId="1" fillId="35" borderId="31" xfId="0" applyNumberFormat="1" applyFont="1" applyFill="1" applyBorder="1" applyAlignment="1">
      <alignment/>
    </xf>
    <xf numFmtId="167" fontId="7" fillId="35" borderId="32" xfId="0" applyNumberFormat="1" applyFont="1" applyFill="1" applyBorder="1" applyAlignment="1">
      <alignment/>
    </xf>
    <xf numFmtId="167" fontId="1" fillId="35" borderId="33" xfId="0" applyNumberFormat="1" applyFont="1" applyFill="1" applyBorder="1" applyAlignment="1">
      <alignment/>
    </xf>
    <xf numFmtId="167" fontId="1" fillId="35" borderId="34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" fillId="35" borderId="35" xfId="0" applyNumberFormat="1" applyFont="1" applyFill="1" applyBorder="1" applyAlignment="1">
      <alignment/>
    </xf>
    <xf numFmtId="0" fontId="27" fillId="0" borderId="0" xfId="0" applyFont="1" applyAlignment="1">
      <alignment/>
    </xf>
    <xf numFmtId="168" fontId="23" fillId="0" borderId="0" xfId="0" applyNumberFormat="1" applyFont="1" applyAlignment="1">
      <alignment/>
    </xf>
    <xf numFmtId="168" fontId="27" fillId="0" borderId="0" xfId="0" applyNumberFormat="1" applyFont="1" applyBorder="1" applyAlignment="1">
      <alignment wrapText="1"/>
    </xf>
    <xf numFmtId="168" fontId="28" fillId="0" borderId="0" xfId="0" applyNumberFormat="1" applyFont="1" applyAlignment="1">
      <alignment horizontal="center"/>
    </xf>
    <xf numFmtId="0" fontId="27" fillId="0" borderId="36" xfId="0" applyFont="1" applyBorder="1" applyAlignment="1">
      <alignment/>
    </xf>
    <xf numFmtId="168" fontId="29" fillId="0" borderId="36" xfId="0" applyNumberFormat="1" applyFont="1" applyBorder="1" applyAlignment="1">
      <alignment horizontal="center"/>
    </xf>
    <xf numFmtId="168" fontId="27" fillId="0" borderId="36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27" fillId="0" borderId="37" xfId="0" applyFont="1" applyBorder="1" applyAlignment="1">
      <alignment/>
    </xf>
    <xf numFmtId="168" fontId="23" fillId="0" borderId="37" xfId="0" applyNumberFormat="1" applyFont="1" applyBorder="1" applyAlignment="1">
      <alignment/>
    </xf>
    <xf numFmtId="168" fontId="27" fillId="0" borderId="37" xfId="0" applyNumberFormat="1" applyFont="1" applyBorder="1" applyAlignment="1">
      <alignment wrapText="1"/>
    </xf>
    <xf numFmtId="0" fontId="27" fillId="0" borderId="37" xfId="0" applyFont="1" applyBorder="1" applyAlignment="1">
      <alignment wrapText="1"/>
    </xf>
    <xf numFmtId="168" fontId="30" fillId="0" borderId="37" xfId="0" applyNumberFormat="1" applyFont="1" applyFill="1" applyBorder="1" applyAlignment="1">
      <alignment/>
    </xf>
    <xf numFmtId="168" fontId="23" fillId="0" borderId="37" xfId="0" applyNumberFormat="1" applyFont="1" applyBorder="1" applyAlignment="1">
      <alignment horizontal="right"/>
    </xf>
    <xf numFmtId="0" fontId="29" fillId="0" borderId="37" xfId="0" applyFont="1" applyBorder="1" applyAlignment="1">
      <alignment/>
    </xf>
    <xf numFmtId="168" fontId="29" fillId="0" borderId="37" xfId="0" applyNumberFormat="1" applyFont="1" applyFill="1" applyBorder="1" applyAlignment="1">
      <alignment/>
    </xf>
    <xf numFmtId="168" fontId="29" fillId="0" borderId="37" xfId="0" applyNumberFormat="1" applyFont="1" applyBorder="1" applyAlignment="1">
      <alignment wrapText="1"/>
    </xf>
    <xf numFmtId="168" fontId="29" fillId="0" borderId="37" xfId="0" applyNumberFormat="1" applyFont="1" applyBorder="1" applyAlignment="1">
      <alignment/>
    </xf>
    <xf numFmtId="0" fontId="27" fillId="0" borderId="38" xfId="0" applyFont="1" applyBorder="1" applyAlignment="1">
      <alignment/>
    </xf>
    <xf numFmtId="168" fontId="23" fillId="0" borderId="38" xfId="0" applyNumberFormat="1" applyFont="1" applyBorder="1" applyAlignment="1">
      <alignment/>
    </xf>
    <xf numFmtId="168" fontId="27" fillId="0" borderId="38" xfId="0" applyNumberFormat="1" applyFont="1" applyBorder="1" applyAlignment="1">
      <alignment wrapText="1"/>
    </xf>
    <xf numFmtId="0" fontId="27" fillId="0" borderId="0" xfId="0" applyFont="1" applyBorder="1" applyAlignment="1">
      <alignment/>
    </xf>
    <xf numFmtId="168" fontId="23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left"/>
    </xf>
    <xf numFmtId="0" fontId="1" fillId="0" borderId="39" xfId="0" applyFont="1" applyBorder="1" applyAlignment="1">
      <alignment/>
    </xf>
    <xf numFmtId="4" fontId="1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4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42" xfId="0" applyFont="1" applyBorder="1" applyAlignment="1">
      <alignment/>
    </xf>
    <xf numFmtId="4" fontId="1" fillId="0" borderId="43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33" fillId="0" borderId="45" xfId="0" applyFont="1" applyBorder="1" applyAlignment="1">
      <alignment wrapText="1"/>
    </xf>
    <xf numFmtId="0" fontId="34" fillId="0" borderId="46" xfId="0" applyFont="1" applyBorder="1" applyAlignment="1">
      <alignment horizontal="center" wrapText="1"/>
    </xf>
    <xf numFmtId="3" fontId="34" fillId="0" borderId="47" xfId="0" applyNumberFormat="1" applyFont="1" applyFill="1" applyBorder="1" applyAlignment="1">
      <alignment horizontal="center" wrapText="1"/>
    </xf>
    <xf numFmtId="0" fontId="34" fillId="0" borderId="48" xfId="0" applyNumberFormat="1" applyFont="1" applyFill="1" applyBorder="1" applyAlignment="1">
      <alignment horizontal="center" wrapText="1"/>
    </xf>
    <xf numFmtId="0" fontId="34" fillId="0" borderId="47" xfId="0" applyNumberFormat="1" applyFont="1" applyFill="1" applyBorder="1" applyAlignment="1">
      <alignment horizontal="center" wrapText="1"/>
    </xf>
    <xf numFmtId="3" fontId="34" fillId="0" borderId="48" xfId="0" applyNumberFormat="1" applyFont="1" applyFill="1" applyBorder="1" applyAlignment="1">
      <alignment horizontal="center" wrapText="1"/>
    </xf>
    <xf numFmtId="0" fontId="34" fillId="0" borderId="47" xfId="0" applyNumberFormat="1" applyFont="1" applyFill="1" applyBorder="1" applyAlignment="1">
      <alignment horizontal="center" wrapText="1"/>
    </xf>
    <xf numFmtId="0" fontId="34" fillId="0" borderId="46" xfId="0" applyNumberFormat="1" applyFont="1" applyFill="1" applyBorder="1" applyAlignment="1">
      <alignment horizontal="center" wrapText="1"/>
    </xf>
    <xf numFmtId="0" fontId="33" fillId="0" borderId="49" xfId="0" applyFont="1" applyBorder="1" applyAlignment="1">
      <alignment/>
    </xf>
    <xf numFmtId="0" fontId="33" fillId="0" borderId="50" xfId="0" applyFont="1" applyBorder="1" applyAlignment="1">
      <alignment horizontal="center"/>
    </xf>
    <xf numFmtId="3" fontId="33" fillId="0" borderId="50" xfId="0" applyNumberFormat="1" applyFont="1" applyBorder="1" applyAlignment="1">
      <alignment horizontal="center"/>
    </xf>
    <xf numFmtId="3" fontId="33" fillId="0" borderId="51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51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3" fontId="33" fillId="0" borderId="51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33" fillId="0" borderId="51" xfId="0" applyNumberFormat="1" applyFont="1" applyFill="1" applyBorder="1" applyAlignment="1">
      <alignment horizontal="center"/>
    </xf>
    <xf numFmtId="0" fontId="33" fillId="0" borderId="50" xfId="0" applyNumberFormat="1" applyFont="1" applyFill="1" applyBorder="1" applyAlignment="1">
      <alignment horizontal="center"/>
    </xf>
    <xf numFmtId="0" fontId="37" fillId="0" borderId="28" xfId="0" applyFont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37" fillId="0" borderId="52" xfId="0" applyFont="1" applyBorder="1" applyAlignment="1">
      <alignment wrapText="1"/>
    </xf>
    <xf numFmtId="3" fontId="19" fillId="0" borderId="53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3" fontId="19" fillId="0" borderId="55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/>
    </xf>
    <xf numFmtId="0" fontId="34" fillId="0" borderId="42" xfId="0" applyFont="1" applyBorder="1" applyAlignment="1">
      <alignment wrapText="1"/>
    </xf>
    <xf numFmtId="3" fontId="33" fillId="0" borderId="43" xfId="0" applyNumberFormat="1" applyFont="1" applyBorder="1" applyAlignment="1">
      <alignment/>
    </xf>
    <xf numFmtId="3" fontId="33" fillId="0" borderId="43" xfId="0" applyNumberFormat="1" applyFont="1" applyFill="1" applyBorder="1" applyAlignment="1">
      <alignment/>
    </xf>
    <xf numFmtId="3" fontId="33" fillId="0" borderId="43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33" fillId="0" borderId="22" xfId="0" applyNumberFormat="1" applyFont="1" applyFill="1" applyBorder="1" applyAlignment="1">
      <alignment/>
    </xf>
    <xf numFmtId="3" fontId="33" fillId="0" borderId="44" xfId="0" applyNumberFormat="1" applyFont="1" applyFill="1" applyBorder="1" applyAlignment="1">
      <alignment/>
    </xf>
    <xf numFmtId="3" fontId="33" fillId="0" borderId="50" xfId="0" applyNumberFormat="1" applyFont="1" applyFill="1" applyBorder="1" applyAlignment="1">
      <alignment horizontal="center"/>
    </xf>
    <xf numFmtId="3" fontId="33" fillId="0" borderId="57" xfId="0" applyNumberFormat="1" applyFont="1" applyFill="1" applyBorder="1" applyAlignment="1">
      <alignment horizontal="center"/>
    </xf>
    <xf numFmtId="0" fontId="34" fillId="0" borderId="58" xfId="0" applyFont="1" applyBorder="1" applyAlignment="1">
      <alignment wrapText="1"/>
    </xf>
    <xf numFmtId="4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59" xfId="0" applyNumberFormat="1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3" fillId="0" borderId="60" xfId="0" applyNumberFormat="1" applyFont="1" applyFill="1" applyBorder="1" applyAlignment="1">
      <alignment/>
    </xf>
    <xf numFmtId="3" fontId="33" fillId="0" borderId="61" xfId="0" applyNumberFormat="1" applyFont="1" applyFill="1" applyBorder="1" applyAlignment="1">
      <alignment/>
    </xf>
    <xf numFmtId="3" fontId="33" fillId="0" borderId="61" xfId="0" applyNumberFormat="1" applyFont="1" applyFill="1" applyBorder="1" applyAlignment="1">
      <alignment/>
    </xf>
    <xf numFmtId="3" fontId="33" fillId="0" borderId="62" xfId="0" applyNumberFormat="1" applyFont="1" applyFill="1" applyBorder="1" applyAlignment="1">
      <alignment/>
    </xf>
    <xf numFmtId="3" fontId="33" fillId="0" borderId="63" xfId="0" applyNumberFormat="1" applyFont="1" applyFill="1" applyBorder="1" applyAlignment="1">
      <alignment/>
    </xf>
    <xf numFmtId="0" fontId="37" fillId="0" borderId="39" xfId="0" applyFont="1" applyBorder="1" applyAlignment="1">
      <alignment wrapText="1"/>
    </xf>
    <xf numFmtId="3" fontId="19" fillId="0" borderId="40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0" fontId="34" fillId="0" borderId="52" xfId="0" applyFont="1" applyBorder="1" applyAlignment="1">
      <alignment wrapText="1"/>
    </xf>
    <xf numFmtId="3" fontId="33" fillId="0" borderId="53" xfId="0" applyNumberFormat="1" applyFont="1" applyBorder="1" applyAlignment="1">
      <alignment/>
    </xf>
    <xf numFmtId="3" fontId="33" fillId="0" borderId="53" xfId="0" applyNumberFormat="1" applyFont="1" applyFill="1" applyBorder="1" applyAlignment="1">
      <alignment/>
    </xf>
    <xf numFmtId="0" fontId="33" fillId="0" borderId="53" xfId="0" applyNumberFormat="1" applyFont="1" applyFill="1" applyBorder="1" applyAlignment="1">
      <alignment/>
    </xf>
    <xf numFmtId="0" fontId="33" fillId="0" borderId="53" xfId="0" applyNumberFormat="1" applyFont="1" applyFill="1" applyBorder="1" applyAlignment="1">
      <alignment/>
    </xf>
    <xf numFmtId="3" fontId="33" fillId="0" borderId="54" xfId="0" applyNumberFormat="1" applyFont="1" applyFill="1" applyBorder="1" applyAlignment="1">
      <alignment/>
    </xf>
    <xf numFmtId="3" fontId="33" fillId="0" borderId="55" xfId="0" applyNumberFormat="1" applyFont="1" applyFill="1" applyBorder="1" applyAlignment="1">
      <alignment/>
    </xf>
    <xf numFmtId="3" fontId="33" fillId="0" borderId="56" xfId="0" applyNumberFormat="1" applyFont="1" applyFill="1" applyBorder="1" applyAlignment="1">
      <alignment/>
    </xf>
    <xf numFmtId="0" fontId="34" fillId="0" borderId="45" xfId="0" applyFont="1" applyFill="1" applyBorder="1" applyAlignment="1">
      <alignment wrapText="1"/>
    </xf>
    <xf numFmtId="3" fontId="33" fillId="0" borderId="47" xfId="0" applyNumberFormat="1" applyFont="1" applyFill="1" applyBorder="1" applyAlignment="1">
      <alignment/>
    </xf>
    <xf numFmtId="3" fontId="33" fillId="0" borderId="47" xfId="0" applyNumberFormat="1" applyFont="1" applyFill="1" applyBorder="1" applyAlignment="1">
      <alignment/>
    </xf>
    <xf numFmtId="3" fontId="33" fillId="0" borderId="48" xfId="0" applyNumberFormat="1" applyFont="1" applyFill="1" applyBorder="1" applyAlignment="1">
      <alignment/>
    </xf>
    <xf numFmtId="3" fontId="33" fillId="0" borderId="46" xfId="0" applyNumberFormat="1" applyFont="1" applyFill="1" applyBorder="1" applyAlignment="1">
      <alignment/>
    </xf>
    <xf numFmtId="3" fontId="33" fillId="0" borderId="65" xfId="0" applyNumberFormat="1" applyFont="1" applyFill="1" applyBorder="1" applyAlignment="1">
      <alignment/>
    </xf>
    <xf numFmtId="3" fontId="33" fillId="0" borderId="51" xfId="0" applyNumberFormat="1" applyFont="1" applyBorder="1" applyAlignment="1">
      <alignment/>
    </xf>
    <xf numFmtId="3" fontId="33" fillId="0" borderId="51" xfId="0" applyNumberFormat="1" applyFont="1" applyFill="1" applyBorder="1" applyAlignment="1">
      <alignment/>
    </xf>
    <xf numFmtId="0" fontId="33" fillId="0" borderId="51" xfId="0" applyNumberFormat="1" applyFont="1" applyFill="1" applyBorder="1" applyAlignment="1">
      <alignment/>
    </xf>
    <xf numFmtId="0" fontId="33" fillId="0" borderId="51" xfId="0" applyNumberFormat="1" applyFont="1" applyFill="1" applyBorder="1" applyAlignment="1">
      <alignment/>
    </xf>
    <xf numFmtId="3" fontId="33" fillId="0" borderId="50" xfId="0" applyNumberFormat="1" applyFont="1" applyFill="1" applyBorder="1" applyAlignment="1">
      <alignment/>
    </xf>
    <xf numFmtId="3" fontId="33" fillId="0" borderId="57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21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0" fontId="33" fillId="0" borderId="54" xfId="0" applyNumberFormat="1" applyFont="1" applyFill="1" applyBorder="1" applyAlignment="1">
      <alignment/>
    </xf>
    <xf numFmtId="0" fontId="36" fillId="0" borderId="45" xfId="0" applyFont="1" applyBorder="1" applyAlignment="1">
      <alignment wrapText="1"/>
    </xf>
    <xf numFmtId="0" fontId="33" fillId="0" borderId="46" xfId="0" applyNumberFormat="1" applyFont="1" applyFill="1" applyBorder="1" applyAlignment="1">
      <alignment/>
    </xf>
    <xf numFmtId="0" fontId="33" fillId="0" borderId="47" xfId="0" applyNumberFormat="1" applyFont="1" applyFill="1" applyBorder="1" applyAlignment="1">
      <alignment/>
    </xf>
    <xf numFmtId="0" fontId="33" fillId="0" borderId="47" xfId="0" applyNumberFormat="1" applyFont="1" applyFill="1" applyBorder="1" applyAlignment="1">
      <alignment/>
    </xf>
    <xf numFmtId="0" fontId="34" fillId="0" borderId="49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3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34" fillId="0" borderId="46" xfId="0" applyNumberFormat="1" applyFont="1" applyBorder="1" applyAlignment="1">
      <alignment horizontal="center" wrapText="1"/>
    </xf>
    <xf numFmtId="167" fontId="34" fillId="0" borderId="47" xfId="0" applyNumberFormat="1" applyFont="1" applyBorder="1" applyAlignment="1">
      <alignment horizontal="center" wrapText="1"/>
    </xf>
    <xf numFmtId="0" fontId="40" fillId="0" borderId="47" xfId="0" applyNumberFormat="1" applyFont="1" applyFill="1" applyBorder="1" applyAlignment="1">
      <alignment horizontal="center" wrapText="1"/>
    </xf>
    <xf numFmtId="0" fontId="34" fillId="0" borderId="65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7" fontId="33" fillId="0" borderId="51" xfId="0" applyNumberFormat="1" applyFont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19" fillId="0" borderId="55" xfId="0" applyNumberFormat="1" applyFont="1" applyFill="1" applyBorder="1" applyAlignment="1">
      <alignment/>
    </xf>
    <xf numFmtId="167" fontId="19" fillId="0" borderId="19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167" fontId="19" fillId="0" borderId="53" xfId="0" applyNumberFormat="1" applyFont="1" applyFill="1" applyBorder="1" applyAlignment="1">
      <alignment/>
    </xf>
    <xf numFmtId="3" fontId="37" fillId="0" borderId="53" xfId="0" applyNumberFormat="1" applyFont="1" applyFill="1" applyBorder="1" applyAlignment="1">
      <alignment/>
    </xf>
    <xf numFmtId="167" fontId="33" fillId="0" borderId="43" xfId="0" applyNumberFormat="1" applyFont="1" applyBorder="1" applyAlignment="1">
      <alignment/>
    </xf>
    <xf numFmtId="3" fontId="34" fillId="0" borderId="43" xfId="0" applyNumberFormat="1" applyFont="1" applyFill="1" applyBorder="1" applyAlignment="1">
      <alignment/>
    </xf>
    <xf numFmtId="3" fontId="34" fillId="0" borderId="51" xfId="0" applyNumberFormat="1" applyFont="1" applyFill="1" applyBorder="1" applyAlignment="1">
      <alignment horizontal="center"/>
    </xf>
    <xf numFmtId="3" fontId="27" fillId="0" borderId="43" xfId="0" applyNumberFormat="1" applyFont="1" applyFill="1" applyBorder="1" applyAlignment="1">
      <alignment/>
    </xf>
    <xf numFmtId="167" fontId="23" fillId="0" borderId="0" xfId="0" applyNumberFormat="1" applyFont="1" applyFill="1" applyBorder="1" applyAlignment="1">
      <alignment/>
    </xf>
    <xf numFmtId="3" fontId="38" fillId="0" borderId="51" xfId="0" applyNumberFormat="1" applyFont="1" applyFill="1" applyBorder="1" applyAlignment="1">
      <alignment/>
    </xf>
    <xf numFmtId="167" fontId="33" fillId="0" borderId="60" xfId="0" applyNumberFormat="1" applyFont="1" applyFill="1" applyBorder="1" applyAlignment="1">
      <alignment/>
    </xf>
    <xf numFmtId="3" fontId="34" fillId="0" borderId="6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167" fontId="19" fillId="0" borderId="40" xfId="0" applyNumberFormat="1" applyFont="1" applyFill="1" applyBorder="1" applyAlignment="1">
      <alignment/>
    </xf>
    <xf numFmtId="3" fontId="37" fillId="0" borderId="40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3" fillId="0" borderId="21" xfId="0" applyNumberFormat="1" applyFont="1" applyFill="1" applyBorder="1" applyAlignment="1">
      <alignment/>
    </xf>
    <xf numFmtId="167" fontId="33" fillId="0" borderId="53" xfId="0" applyNumberFormat="1" applyFont="1" applyBorder="1" applyAlignment="1">
      <alignment/>
    </xf>
    <xf numFmtId="0" fontId="34" fillId="0" borderId="53" xfId="0" applyNumberFormat="1" applyFont="1" applyFill="1" applyBorder="1" applyAlignment="1">
      <alignment/>
    </xf>
    <xf numFmtId="3" fontId="33" fillId="0" borderId="53" xfId="0" applyNumberFormat="1" applyFont="1" applyFill="1" applyBorder="1" applyAlignment="1">
      <alignment/>
    </xf>
    <xf numFmtId="167" fontId="33" fillId="0" borderId="47" xfId="0" applyNumberFormat="1" applyFont="1" applyFill="1" applyBorder="1" applyAlignment="1">
      <alignment/>
    </xf>
    <xf numFmtId="3" fontId="34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3" fillId="0" borderId="50" xfId="0" applyNumberFormat="1" applyFont="1" applyBorder="1" applyAlignment="1">
      <alignment/>
    </xf>
    <xf numFmtId="167" fontId="33" fillId="0" borderId="51" xfId="0" applyNumberFormat="1" applyFont="1" applyBorder="1" applyAlignment="1">
      <alignment/>
    </xf>
    <xf numFmtId="0" fontId="34" fillId="0" borderId="51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167" fontId="19" fillId="0" borderId="21" xfId="0" applyNumberFormat="1" applyFont="1" applyBorder="1" applyAlignment="1">
      <alignment/>
    </xf>
    <xf numFmtId="0" fontId="37" fillId="0" borderId="21" xfId="0" applyNumberFormat="1" applyFont="1" applyFill="1" applyBorder="1" applyAlignment="1">
      <alignment/>
    </xf>
    <xf numFmtId="167" fontId="19" fillId="0" borderId="21" xfId="0" applyNumberFormat="1" applyFont="1" applyFill="1" applyBorder="1" applyAlignment="1">
      <alignment/>
    </xf>
    <xf numFmtId="167" fontId="33" fillId="0" borderId="53" xfId="0" applyNumberFormat="1" applyFont="1" applyFill="1" applyBorder="1" applyAlignment="1">
      <alignment/>
    </xf>
    <xf numFmtId="0" fontId="34" fillId="0" borderId="47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12" fillId="0" borderId="60" xfId="0" applyNumberFormat="1" applyFont="1" applyBorder="1" applyAlignment="1">
      <alignment horizontal="left" vertical="top" wrapText="1"/>
    </xf>
    <xf numFmtId="0" fontId="13" fillId="0" borderId="60" xfId="0" applyFont="1" applyBorder="1" applyAlignment="1">
      <alignment/>
    </xf>
    <xf numFmtId="49" fontId="10" fillId="0" borderId="11" xfId="0" applyNumberFormat="1" applyFont="1" applyBorder="1" applyAlignment="1">
      <alignment horizontal="left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right" vertical="top" wrapText="1"/>
    </xf>
    <xf numFmtId="49" fontId="3" fillId="33" borderId="14" xfId="0" applyNumberFormat="1" applyFont="1" applyFill="1" applyBorder="1" applyAlignment="1">
      <alignment horizontal="right" vertical="top" wrapText="1"/>
    </xf>
    <xf numFmtId="49" fontId="3" fillId="33" borderId="20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20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49" fontId="5" fillId="33" borderId="19" xfId="0" applyNumberFormat="1" applyFont="1" applyFill="1" applyBorder="1" applyAlignment="1">
      <alignment horizontal="right" vertical="top" wrapText="1"/>
    </xf>
    <xf numFmtId="49" fontId="5" fillId="33" borderId="14" xfId="0" applyNumberFormat="1" applyFont="1" applyFill="1" applyBorder="1" applyAlignment="1">
      <alignment horizontal="right" vertical="top" wrapText="1"/>
    </xf>
    <xf numFmtId="49" fontId="5" fillId="33" borderId="20" xfId="0" applyNumberFormat="1" applyFont="1" applyFill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49" fontId="5" fillId="33" borderId="19" xfId="0" applyNumberFormat="1" applyFont="1" applyFill="1" applyBorder="1" applyAlignment="1">
      <alignment horizontal="left" vertical="top" wrapText="1"/>
    </xf>
    <xf numFmtId="49" fontId="5" fillId="33" borderId="20" xfId="0" applyNumberFormat="1" applyFont="1" applyFill="1" applyBorder="1" applyAlignment="1">
      <alignment horizontal="left" vertical="top" wrapText="1"/>
    </xf>
    <xf numFmtId="0" fontId="5" fillId="37" borderId="13" xfId="0" applyFont="1" applyFill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1" fillId="35" borderId="13" xfId="0" applyFont="1" applyFill="1" applyBorder="1" applyAlignment="1">
      <alignment vertical="center" textRotation="90"/>
    </xf>
    <xf numFmtId="0" fontId="1" fillId="38" borderId="13" xfId="0" applyFont="1" applyFill="1" applyBorder="1" applyAlignment="1">
      <alignment vertical="center" textRotation="90"/>
    </xf>
    <xf numFmtId="49" fontId="5" fillId="39" borderId="19" xfId="0" applyNumberFormat="1" applyFont="1" applyFill="1" applyBorder="1" applyAlignment="1">
      <alignment horizontal="center" vertical="top" wrapText="1"/>
    </xf>
    <xf numFmtId="49" fontId="5" fillId="39" borderId="14" xfId="0" applyNumberFormat="1" applyFont="1" applyFill="1" applyBorder="1" applyAlignment="1">
      <alignment horizontal="center" vertical="top" wrapText="1"/>
    </xf>
    <xf numFmtId="0" fontId="3" fillId="40" borderId="13" xfId="0" applyFont="1" applyFill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0" fillId="0" borderId="13" xfId="0" applyFont="1" applyBorder="1" applyAlignment="1">
      <alignment vertical="center" textRotation="90"/>
    </xf>
    <xf numFmtId="0" fontId="1" fillId="41" borderId="13" xfId="0" applyFont="1" applyFill="1" applyBorder="1" applyAlignment="1">
      <alignment vertical="center" textRotation="90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13" xfId="0" applyFont="1" applyFill="1" applyBorder="1" applyAlignment="1">
      <alignment vertical="center" textRotation="90"/>
    </xf>
    <xf numFmtId="0" fontId="1" fillId="42" borderId="13" xfId="0" applyFont="1" applyFill="1" applyBorder="1" applyAlignment="1">
      <alignment vertical="center" textRotation="90"/>
    </xf>
    <xf numFmtId="49" fontId="10" fillId="0" borderId="17" xfId="0" applyNumberFormat="1" applyFont="1" applyBorder="1" applyAlignment="1">
      <alignment horizontal="left" vertical="top" wrapText="1"/>
    </xf>
    <xf numFmtId="167" fontId="18" fillId="35" borderId="66" xfId="0" applyNumberFormat="1" applyFont="1" applyFill="1" applyBorder="1" applyAlignment="1">
      <alignment wrapText="1"/>
    </xf>
    <xf numFmtId="0" fontId="14" fillId="0" borderId="48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9"/>
  <sheetViews>
    <sheetView zoomScalePageLayoutView="0" workbookViewId="0" topLeftCell="A210">
      <selection activeCell="A328" sqref="A328"/>
    </sheetView>
  </sheetViews>
  <sheetFormatPr defaultColWidth="9.140625" defaultRowHeight="12.75"/>
  <cols>
    <col min="1" max="1" width="3.28125" style="11" customWidth="1"/>
    <col min="2" max="9" width="1.7109375" style="12" customWidth="1"/>
    <col min="10" max="10" width="5.140625" style="13" customWidth="1"/>
    <col min="11" max="11" width="0.9921875" style="13" customWidth="1"/>
    <col min="12" max="12" width="2.7109375" style="13" customWidth="1"/>
    <col min="13" max="13" width="2.140625" style="13" customWidth="1"/>
    <col min="14" max="15" width="0.9921875" style="13" customWidth="1"/>
    <col min="16" max="16" width="2.7109375" style="13" customWidth="1"/>
    <col min="17" max="18" width="0.9921875" style="13" customWidth="1"/>
    <col min="19" max="19" width="2.28125" style="13" customWidth="1"/>
    <col min="20" max="28" width="0.9921875" style="13" customWidth="1"/>
    <col min="29" max="30" width="2.140625" style="13" customWidth="1"/>
    <col min="31" max="31" width="0.9921875" style="13" customWidth="1"/>
    <col min="32" max="32" width="1.7109375" style="13" customWidth="1"/>
    <col min="33" max="33" width="0.9921875" style="13" customWidth="1"/>
    <col min="34" max="34" width="2.7109375" style="13" customWidth="1"/>
    <col min="35" max="35" width="6.7109375" style="13" customWidth="1"/>
    <col min="36" max="36" width="4.140625" style="13" customWidth="1"/>
    <col min="37" max="37" width="0.9921875" style="13" customWidth="1"/>
    <col min="38" max="38" width="5.7109375" style="13" customWidth="1"/>
    <col min="39" max="39" width="2.28125" style="13" customWidth="1"/>
    <col min="40" max="42" width="2.140625" style="13" customWidth="1"/>
    <col min="43" max="43" width="8.7109375" style="13" customWidth="1"/>
    <col min="44" max="44" width="4.7109375" style="9" hidden="1" customWidth="1"/>
    <col min="45" max="46" width="9.57421875" style="3" customWidth="1"/>
    <col min="47" max="47" width="8.421875" style="3" customWidth="1"/>
    <col min="48" max="48" width="9.57421875" style="3" customWidth="1"/>
    <col min="49" max="49" width="9.57421875" style="3" hidden="1" customWidth="1"/>
    <col min="50" max="50" width="12.57421875" style="5" hidden="1" customWidth="1"/>
    <col min="51" max="51" width="11.421875" style="6" hidden="1" customWidth="1"/>
    <col min="52" max="52" width="2.7109375" style="7" customWidth="1"/>
    <col min="53" max="53" width="10.8515625" style="6" customWidth="1"/>
    <col min="54" max="16384" width="9.140625" style="10" customWidth="1"/>
  </cols>
  <sheetData>
    <row r="1" spans="2:53" s="1" customFormat="1" ht="11.25" hidden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4"/>
      <c r="AS1" s="3"/>
      <c r="AT1" s="3"/>
      <c r="AU1" s="3"/>
      <c r="AV1" s="3"/>
      <c r="AW1" s="3"/>
      <c r="AX1" s="5"/>
      <c r="AY1" s="6"/>
      <c r="AZ1" s="4"/>
      <c r="BA1" s="6"/>
    </row>
    <row r="2" spans="2:53" s="1" customFormat="1" ht="11.25" hidden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 t="s">
        <v>1</v>
      </c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7" t="s">
        <v>2</v>
      </c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4"/>
      <c r="AS2" s="3"/>
      <c r="AT2" s="3"/>
      <c r="AU2" s="3"/>
      <c r="AV2" s="3"/>
      <c r="AW2" s="3"/>
      <c r="AX2" s="5"/>
      <c r="AY2" s="6"/>
      <c r="AZ2" s="4"/>
      <c r="BA2" s="6"/>
    </row>
    <row r="3" spans="2:53" s="1" customFormat="1" ht="11.25" hidden="1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7" t="s">
        <v>3</v>
      </c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4"/>
      <c r="AS3" s="3"/>
      <c r="AT3" s="3"/>
      <c r="AU3" s="3"/>
      <c r="AV3" s="3"/>
      <c r="AW3" s="3"/>
      <c r="AX3" s="5"/>
      <c r="AY3" s="6"/>
      <c r="AZ3" s="4"/>
      <c r="BA3" s="6"/>
    </row>
    <row r="4" spans="2:53" s="1" customFormat="1" ht="11.25" hidden="1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 t="s">
        <v>4</v>
      </c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4"/>
      <c r="AS4" s="3"/>
      <c r="AT4" s="3"/>
      <c r="AU4" s="3"/>
      <c r="AV4" s="3"/>
      <c r="AW4" s="3"/>
      <c r="AX4" s="5"/>
      <c r="AY4" s="6"/>
      <c r="AZ4" s="4"/>
      <c r="BA4" s="6"/>
    </row>
    <row r="5" spans="2:53" s="1" customFormat="1" ht="11.25" hidden="1"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4"/>
      <c r="AS5" s="3"/>
      <c r="AT5" s="3"/>
      <c r="AU5" s="3"/>
      <c r="AV5" s="3"/>
      <c r="AW5" s="3"/>
      <c r="AX5" s="5"/>
      <c r="AY5" s="6"/>
      <c r="AZ5" s="4"/>
      <c r="BA5" s="6"/>
    </row>
    <row r="6" spans="2:53" s="1" customFormat="1" ht="11.25" hidden="1"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 t="s">
        <v>5</v>
      </c>
      <c r="M6" s="356"/>
      <c r="N6" s="356"/>
      <c r="O6" s="359" t="s">
        <v>0</v>
      </c>
      <c r="P6" s="359"/>
      <c r="Q6" s="359"/>
      <c r="R6" s="359"/>
      <c r="S6" s="359"/>
      <c r="T6" s="359"/>
      <c r="U6" s="359" t="s">
        <v>6</v>
      </c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4"/>
      <c r="AS6" s="3"/>
      <c r="AT6" s="3"/>
      <c r="AU6" s="3"/>
      <c r="AV6" s="3"/>
      <c r="AW6" s="3"/>
      <c r="AX6" s="5"/>
      <c r="AY6" s="6"/>
      <c r="AZ6" s="4"/>
      <c r="BA6" s="6"/>
    </row>
    <row r="7" spans="2:53" s="1" customFormat="1" ht="11.25" hidden="1"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4"/>
      <c r="AS7" s="3"/>
      <c r="AT7" s="3"/>
      <c r="AU7" s="3"/>
      <c r="AV7" s="3"/>
      <c r="AW7" s="3"/>
      <c r="AX7" s="5"/>
      <c r="AY7" s="6"/>
      <c r="AZ7" s="4"/>
      <c r="BA7" s="6"/>
    </row>
    <row r="8" spans="2:53" s="1" customFormat="1" ht="24.75" customHeight="1" thickBot="1">
      <c r="B8" s="360" t="s">
        <v>706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</row>
    <row r="9" spans="1:53" s="8" customFormat="1" ht="12.75">
      <c r="A9" s="15"/>
      <c r="B9" s="362" t="s">
        <v>7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16"/>
      <c r="AS9" s="17"/>
      <c r="AT9" s="17"/>
      <c r="AU9" s="17"/>
      <c r="AV9" s="17"/>
      <c r="AW9" s="17"/>
      <c r="AX9" s="18"/>
      <c r="AY9" s="19"/>
      <c r="AZ9" s="20"/>
      <c r="BA9" s="21"/>
    </row>
    <row r="10" spans="1:53" ht="22.5">
      <c r="A10" s="22"/>
      <c r="B10" s="363" t="s">
        <v>8</v>
      </c>
      <c r="C10" s="364"/>
      <c r="D10" s="364"/>
      <c r="E10" s="365"/>
      <c r="F10" s="363" t="s">
        <v>9</v>
      </c>
      <c r="G10" s="364"/>
      <c r="H10" s="364"/>
      <c r="I10" s="365"/>
      <c r="J10" s="23" t="s">
        <v>10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66" t="s">
        <v>11</v>
      </c>
      <c r="AG10" s="367"/>
      <c r="AH10" s="367"/>
      <c r="AI10" s="368"/>
      <c r="AJ10" s="366" t="s">
        <v>12</v>
      </c>
      <c r="AK10" s="367"/>
      <c r="AL10" s="367"/>
      <c r="AM10" s="368"/>
      <c r="AN10" s="366" t="s">
        <v>13</v>
      </c>
      <c r="AO10" s="367"/>
      <c r="AP10" s="367"/>
      <c r="AQ10" s="368"/>
      <c r="AR10" s="24"/>
      <c r="AS10" s="58" t="s">
        <v>689</v>
      </c>
      <c r="AT10" s="58" t="s">
        <v>690</v>
      </c>
      <c r="AU10" s="59" t="s">
        <v>697</v>
      </c>
      <c r="AV10" s="60" t="s">
        <v>696</v>
      </c>
      <c r="AW10" s="60"/>
      <c r="AX10" s="61" t="s">
        <v>691</v>
      </c>
      <c r="AY10" s="62" t="s">
        <v>698</v>
      </c>
      <c r="AZ10" s="63"/>
      <c r="BA10" s="26" t="s">
        <v>699</v>
      </c>
    </row>
    <row r="11" spans="1:53" ht="12.75">
      <c r="A11" s="22"/>
      <c r="B11" s="372" t="s">
        <v>14</v>
      </c>
      <c r="C11" s="372"/>
      <c r="D11" s="372"/>
      <c r="E11" s="372"/>
      <c r="F11" s="372" t="s">
        <v>15</v>
      </c>
      <c r="G11" s="372"/>
      <c r="H11" s="372"/>
      <c r="I11" s="372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 t="s">
        <v>16</v>
      </c>
      <c r="AG11" s="373"/>
      <c r="AH11" s="373"/>
      <c r="AI11" s="373"/>
      <c r="AJ11" s="373" t="s">
        <v>17</v>
      </c>
      <c r="AK11" s="373"/>
      <c r="AL11" s="373"/>
      <c r="AM11" s="373"/>
      <c r="AN11" s="373" t="s">
        <v>18</v>
      </c>
      <c r="AO11" s="373"/>
      <c r="AP11" s="373"/>
      <c r="AQ11" s="373"/>
      <c r="AR11" s="24"/>
      <c r="AS11" s="27"/>
      <c r="AT11" s="27"/>
      <c r="AU11" s="27"/>
      <c r="AV11" s="27"/>
      <c r="AW11" s="27"/>
      <c r="AX11" s="28"/>
      <c r="AY11" s="29"/>
      <c r="AZ11" s="25"/>
      <c r="BA11" s="30"/>
    </row>
    <row r="12" spans="1:53" ht="3.75" customHeight="1">
      <c r="A12" s="22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24"/>
      <c r="AS12" s="27"/>
      <c r="AT12" s="27"/>
      <c r="AU12" s="27"/>
      <c r="AV12" s="27"/>
      <c r="AW12" s="27"/>
      <c r="AX12" s="28"/>
      <c r="AY12" s="29"/>
      <c r="AZ12" s="25"/>
      <c r="BA12" s="30"/>
    </row>
    <row r="13" spans="1:53" ht="12.75">
      <c r="A13" s="22"/>
      <c r="B13" s="376" t="s">
        <v>19</v>
      </c>
      <c r="C13" s="377"/>
      <c r="D13" s="377"/>
      <c r="E13" s="378"/>
      <c r="F13" s="379" t="s">
        <v>20</v>
      </c>
      <c r="G13" s="380"/>
      <c r="H13" s="380"/>
      <c r="I13" s="381"/>
      <c r="J13" s="374" t="s">
        <v>21</v>
      </c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69" t="s">
        <v>22</v>
      </c>
      <c r="AG13" s="370"/>
      <c r="AH13" s="370"/>
      <c r="AI13" s="371"/>
      <c r="AJ13" s="369" t="s">
        <v>22</v>
      </c>
      <c r="AK13" s="370"/>
      <c r="AL13" s="370"/>
      <c r="AM13" s="371"/>
      <c r="AN13" s="369" t="s">
        <v>23</v>
      </c>
      <c r="AO13" s="370"/>
      <c r="AP13" s="370"/>
      <c r="AQ13" s="371"/>
      <c r="AR13" s="24"/>
      <c r="AS13" s="55">
        <v>250000</v>
      </c>
      <c r="AT13" s="55">
        <v>250000</v>
      </c>
      <c r="AU13" s="55"/>
      <c r="AV13" s="56">
        <f>AT13+AU13</f>
        <v>250000</v>
      </c>
      <c r="AW13" s="32"/>
      <c r="AX13" s="28">
        <v>253518.75</v>
      </c>
      <c r="AY13" s="29">
        <f aca="true" t="shared" si="0" ref="AY13:AY26">AX13-AV13</f>
        <v>3518.75</v>
      </c>
      <c r="AZ13" s="25"/>
      <c r="BA13" s="30">
        <v>250000</v>
      </c>
    </row>
    <row r="14" spans="1:53" ht="12.75">
      <c r="A14" s="22"/>
      <c r="B14" s="376" t="s">
        <v>19</v>
      </c>
      <c r="C14" s="377"/>
      <c r="D14" s="377"/>
      <c r="E14" s="378"/>
      <c r="F14" s="379" t="s">
        <v>24</v>
      </c>
      <c r="G14" s="380"/>
      <c r="H14" s="380"/>
      <c r="I14" s="381"/>
      <c r="J14" s="374" t="s">
        <v>25</v>
      </c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69" t="s">
        <v>26</v>
      </c>
      <c r="AG14" s="370"/>
      <c r="AH14" s="370"/>
      <c r="AI14" s="371"/>
      <c r="AJ14" s="369" t="s">
        <v>26</v>
      </c>
      <c r="AK14" s="370"/>
      <c r="AL14" s="370"/>
      <c r="AM14" s="371"/>
      <c r="AN14" s="369" t="s">
        <v>27</v>
      </c>
      <c r="AO14" s="370"/>
      <c r="AP14" s="370"/>
      <c r="AQ14" s="371"/>
      <c r="AR14" s="24"/>
      <c r="AS14" s="55">
        <v>10000</v>
      </c>
      <c r="AT14" s="55">
        <v>10000</v>
      </c>
      <c r="AU14" s="55">
        <v>-6000</v>
      </c>
      <c r="AV14" s="56">
        <f>AT14+AU14</f>
        <v>4000</v>
      </c>
      <c r="AW14" s="32"/>
      <c r="AX14" s="28">
        <v>3741</v>
      </c>
      <c r="AY14" s="29">
        <f t="shared" si="0"/>
        <v>-259</v>
      </c>
      <c r="AZ14" s="25"/>
      <c r="BA14" s="30">
        <v>10000</v>
      </c>
    </row>
    <row r="15" spans="1:53" ht="12.75">
      <c r="A15" s="22"/>
      <c r="B15" s="376" t="s">
        <v>19</v>
      </c>
      <c r="C15" s="377"/>
      <c r="D15" s="377"/>
      <c r="E15" s="378"/>
      <c r="F15" s="379" t="s">
        <v>28</v>
      </c>
      <c r="G15" s="380"/>
      <c r="H15" s="380"/>
      <c r="I15" s="381"/>
      <c r="J15" s="374" t="s">
        <v>29</v>
      </c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69" t="s">
        <v>30</v>
      </c>
      <c r="AG15" s="370"/>
      <c r="AH15" s="370"/>
      <c r="AI15" s="371"/>
      <c r="AJ15" s="369" t="s">
        <v>30</v>
      </c>
      <c r="AK15" s="370"/>
      <c r="AL15" s="370"/>
      <c r="AM15" s="371"/>
      <c r="AN15" s="369" t="s">
        <v>31</v>
      </c>
      <c r="AO15" s="370"/>
      <c r="AP15" s="370"/>
      <c r="AQ15" s="371"/>
      <c r="AR15" s="24"/>
      <c r="AS15" s="55">
        <v>560000</v>
      </c>
      <c r="AT15" s="55">
        <v>560000</v>
      </c>
      <c r="AU15" s="55">
        <v>-220000</v>
      </c>
      <c r="AV15" s="56">
        <f>AT15+AU15</f>
        <v>340000</v>
      </c>
      <c r="AW15" s="32"/>
      <c r="AX15" s="28">
        <v>303495</v>
      </c>
      <c r="AY15" s="29">
        <f t="shared" si="0"/>
        <v>-36505</v>
      </c>
      <c r="AZ15" s="25"/>
      <c r="BA15" s="30">
        <v>560000</v>
      </c>
    </row>
    <row r="16" spans="1:53" ht="12.75">
      <c r="A16" s="22"/>
      <c r="B16" s="376" t="s">
        <v>19</v>
      </c>
      <c r="C16" s="377"/>
      <c r="D16" s="377"/>
      <c r="E16" s="378"/>
      <c r="F16" s="379" t="s">
        <v>32</v>
      </c>
      <c r="G16" s="380"/>
      <c r="H16" s="380"/>
      <c r="I16" s="381"/>
      <c r="J16" s="374" t="s">
        <v>33</v>
      </c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69" t="s">
        <v>34</v>
      </c>
      <c r="AG16" s="370"/>
      <c r="AH16" s="370"/>
      <c r="AI16" s="371"/>
      <c r="AJ16" s="369" t="s">
        <v>34</v>
      </c>
      <c r="AK16" s="370"/>
      <c r="AL16" s="370"/>
      <c r="AM16" s="371"/>
      <c r="AN16" s="369" t="s">
        <v>35</v>
      </c>
      <c r="AO16" s="370"/>
      <c r="AP16" s="370"/>
      <c r="AQ16" s="371"/>
      <c r="AR16" s="24"/>
      <c r="AS16" s="55">
        <v>11000</v>
      </c>
      <c r="AT16" s="55">
        <v>11000</v>
      </c>
      <c r="AU16" s="55">
        <v>-7000</v>
      </c>
      <c r="AV16" s="56">
        <f>AT16+AU16</f>
        <v>4000</v>
      </c>
      <c r="AW16" s="32"/>
      <c r="AX16" s="28">
        <v>3935</v>
      </c>
      <c r="AY16" s="29">
        <f t="shared" si="0"/>
        <v>-65</v>
      </c>
      <c r="AZ16" s="25"/>
      <c r="BA16" s="30">
        <v>11000</v>
      </c>
    </row>
    <row r="17" spans="1:53" ht="12.75">
      <c r="A17" s="22"/>
      <c r="B17" s="376" t="s">
        <v>19</v>
      </c>
      <c r="C17" s="377"/>
      <c r="D17" s="377"/>
      <c r="E17" s="378"/>
      <c r="F17" s="379" t="s">
        <v>36</v>
      </c>
      <c r="G17" s="380"/>
      <c r="H17" s="380"/>
      <c r="I17" s="381"/>
      <c r="J17" s="374" t="s">
        <v>37</v>
      </c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69" t="s">
        <v>22</v>
      </c>
      <c r="AG17" s="370"/>
      <c r="AH17" s="370"/>
      <c r="AI17" s="371"/>
      <c r="AJ17" s="369" t="s">
        <v>22</v>
      </c>
      <c r="AK17" s="370"/>
      <c r="AL17" s="370"/>
      <c r="AM17" s="371"/>
      <c r="AN17" s="369" t="s">
        <v>38</v>
      </c>
      <c r="AO17" s="370"/>
      <c r="AP17" s="370"/>
      <c r="AQ17" s="371"/>
      <c r="AR17" s="24"/>
      <c r="AS17" s="55">
        <v>250000</v>
      </c>
      <c r="AT17" s="55">
        <v>250000</v>
      </c>
      <c r="AU17" s="55">
        <v>-20000</v>
      </c>
      <c r="AV17" s="56">
        <f>AT17+AU17</f>
        <v>230000</v>
      </c>
      <c r="AW17" s="32"/>
      <c r="AX17" s="28">
        <v>214980</v>
      </c>
      <c r="AY17" s="29">
        <f t="shared" si="0"/>
        <v>-15020</v>
      </c>
      <c r="AZ17" s="25"/>
      <c r="BA17" s="30">
        <v>250000</v>
      </c>
    </row>
    <row r="18" spans="1:53" ht="12.75">
      <c r="A18" s="22"/>
      <c r="B18" s="376" t="s">
        <v>19</v>
      </c>
      <c r="C18" s="377"/>
      <c r="D18" s="377"/>
      <c r="E18" s="378"/>
      <c r="F18" s="379" t="s">
        <v>39</v>
      </c>
      <c r="G18" s="380"/>
      <c r="H18" s="380"/>
      <c r="I18" s="381"/>
      <c r="J18" s="374" t="s">
        <v>40</v>
      </c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69" t="s">
        <v>41</v>
      </c>
      <c r="AG18" s="370"/>
      <c r="AH18" s="370"/>
      <c r="AI18" s="371"/>
      <c r="AJ18" s="369" t="s">
        <v>41</v>
      </c>
      <c r="AK18" s="370"/>
      <c r="AL18" s="370"/>
      <c r="AM18" s="371"/>
      <c r="AN18" s="369" t="s">
        <v>42</v>
      </c>
      <c r="AO18" s="370"/>
      <c r="AP18" s="370"/>
      <c r="AQ18" s="371"/>
      <c r="AR18" s="24"/>
      <c r="AS18" s="55">
        <v>1800000</v>
      </c>
      <c r="AT18" s="55">
        <f>1800000</f>
        <v>1800000</v>
      </c>
      <c r="AU18" s="55">
        <f>AV18-AT18</f>
        <v>350000</v>
      </c>
      <c r="AV18" s="55">
        <f>1800000+350000</f>
        <v>2150000</v>
      </c>
      <c r="AW18" s="27"/>
      <c r="AX18" s="28">
        <v>2149254</v>
      </c>
      <c r="AY18" s="29">
        <f t="shared" si="0"/>
        <v>-746</v>
      </c>
      <c r="AZ18" s="25"/>
      <c r="BA18" s="30">
        <v>1800000</v>
      </c>
    </row>
    <row r="19" spans="1:53" ht="12.75">
      <c r="A19" s="22"/>
      <c r="B19" s="376" t="s">
        <v>19</v>
      </c>
      <c r="C19" s="377"/>
      <c r="D19" s="377"/>
      <c r="E19" s="378"/>
      <c r="F19" s="379" t="s">
        <v>43</v>
      </c>
      <c r="G19" s="380"/>
      <c r="H19" s="380"/>
      <c r="I19" s="381"/>
      <c r="J19" s="374" t="s">
        <v>44</v>
      </c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69" t="s">
        <v>45</v>
      </c>
      <c r="AG19" s="370"/>
      <c r="AH19" s="370"/>
      <c r="AI19" s="371"/>
      <c r="AJ19" s="369" t="s">
        <v>45</v>
      </c>
      <c r="AK19" s="370"/>
      <c r="AL19" s="370"/>
      <c r="AM19" s="371"/>
      <c r="AN19" s="369" t="s">
        <v>46</v>
      </c>
      <c r="AO19" s="370"/>
      <c r="AP19" s="370"/>
      <c r="AQ19" s="371"/>
      <c r="AR19" s="24"/>
      <c r="AS19" s="55">
        <v>8700000</v>
      </c>
      <c r="AT19" s="55">
        <v>8700000</v>
      </c>
      <c r="AU19" s="55"/>
      <c r="AV19" s="56">
        <f aca="true" t="shared" si="1" ref="AV19:AV45">AT19+AU19</f>
        <v>8700000</v>
      </c>
      <c r="AW19" s="32"/>
      <c r="AX19" s="28">
        <v>5282239.81</v>
      </c>
      <c r="AY19" s="29">
        <f t="shared" si="0"/>
        <v>-3417760.1900000004</v>
      </c>
      <c r="AZ19" s="25"/>
      <c r="BA19" s="30">
        <f>8700000+2014/2014*-1200000</f>
        <v>7500000</v>
      </c>
    </row>
    <row r="20" spans="1:53" ht="12.75">
      <c r="A20" s="22"/>
      <c r="B20" s="376" t="s">
        <v>19</v>
      </c>
      <c r="C20" s="377"/>
      <c r="D20" s="377"/>
      <c r="E20" s="378"/>
      <c r="F20" s="379" t="s">
        <v>47</v>
      </c>
      <c r="G20" s="380"/>
      <c r="H20" s="380"/>
      <c r="I20" s="381"/>
      <c r="J20" s="374" t="s">
        <v>48</v>
      </c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69"/>
      <c r="AG20" s="370"/>
      <c r="AH20" s="370"/>
      <c r="AI20" s="371"/>
      <c r="AJ20" s="369"/>
      <c r="AK20" s="370"/>
      <c r="AL20" s="370"/>
      <c r="AM20" s="371"/>
      <c r="AN20" s="369" t="s">
        <v>49</v>
      </c>
      <c r="AO20" s="370"/>
      <c r="AP20" s="370"/>
      <c r="AQ20" s="371"/>
      <c r="AR20" s="24"/>
      <c r="AS20" s="55"/>
      <c r="AT20" s="55"/>
      <c r="AU20" s="55"/>
      <c r="AV20" s="56">
        <f t="shared" si="1"/>
        <v>0</v>
      </c>
      <c r="AW20" s="32"/>
      <c r="AX20" s="28">
        <v>138750</v>
      </c>
      <c r="AY20" s="29">
        <f t="shared" si="0"/>
        <v>138750</v>
      </c>
      <c r="AZ20" s="25"/>
      <c r="BA20" s="30"/>
    </row>
    <row r="21" spans="1:53" ht="12.75">
      <c r="A21" s="22"/>
      <c r="B21" s="376" t="s">
        <v>19</v>
      </c>
      <c r="C21" s="377"/>
      <c r="D21" s="377"/>
      <c r="E21" s="378"/>
      <c r="F21" s="379" t="s">
        <v>50</v>
      </c>
      <c r="G21" s="380"/>
      <c r="H21" s="380"/>
      <c r="I21" s="381"/>
      <c r="J21" s="374" t="s">
        <v>51</v>
      </c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69"/>
      <c r="AG21" s="370"/>
      <c r="AH21" s="370"/>
      <c r="AI21" s="371"/>
      <c r="AJ21" s="369" t="s">
        <v>52</v>
      </c>
      <c r="AK21" s="370"/>
      <c r="AL21" s="370"/>
      <c r="AM21" s="371"/>
      <c r="AN21" s="369" t="s">
        <v>53</v>
      </c>
      <c r="AO21" s="370"/>
      <c r="AP21" s="370"/>
      <c r="AQ21" s="371"/>
      <c r="AR21" s="24"/>
      <c r="AS21" s="55"/>
      <c r="AT21" s="55">
        <f>1724100+11/11*(817200+254100)</f>
        <v>2795400</v>
      </c>
      <c r="AU21" s="55"/>
      <c r="AV21" s="56">
        <f t="shared" si="1"/>
        <v>2795400</v>
      </c>
      <c r="AW21" s="32"/>
      <c r="AX21" s="28">
        <v>1724140</v>
      </c>
      <c r="AY21" s="29">
        <f t="shared" si="0"/>
        <v>-1071260</v>
      </c>
      <c r="AZ21" s="25"/>
      <c r="BA21" s="30"/>
    </row>
    <row r="22" spans="1:53" ht="12.75">
      <c r="A22" s="22"/>
      <c r="B22" s="376" t="s">
        <v>19</v>
      </c>
      <c r="C22" s="377"/>
      <c r="D22" s="377"/>
      <c r="E22" s="378"/>
      <c r="F22" s="379" t="s">
        <v>54</v>
      </c>
      <c r="G22" s="380"/>
      <c r="H22" s="380"/>
      <c r="I22" s="381"/>
      <c r="J22" s="374" t="s">
        <v>55</v>
      </c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69" t="s">
        <v>56</v>
      </c>
      <c r="AG22" s="370"/>
      <c r="AH22" s="370"/>
      <c r="AI22" s="371"/>
      <c r="AJ22" s="369" t="s">
        <v>56</v>
      </c>
      <c r="AK22" s="370"/>
      <c r="AL22" s="370"/>
      <c r="AM22" s="371"/>
      <c r="AN22" s="369" t="s">
        <v>57</v>
      </c>
      <c r="AO22" s="370"/>
      <c r="AP22" s="370"/>
      <c r="AQ22" s="371"/>
      <c r="AR22" s="24"/>
      <c r="AS22" s="55">
        <v>15772000</v>
      </c>
      <c r="AT22" s="55">
        <v>15772000</v>
      </c>
      <c r="AU22" s="55"/>
      <c r="AV22" s="56">
        <f t="shared" si="1"/>
        <v>15772000</v>
      </c>
      <c r="AW22" s="32"/>
      <c r="AX22" s="28">
        <v>13140000</v>
      </c>
      <c r="AY22" s="29">
        <f t="shared" si="0"/>
        <v>-2632000</v>
      </c>
      <c r="AZ22" s="25"/>
      <c r="BA22" s="30">
        <f>15772000*0+15917000</f>
        <v>15917000</v>
      </c>
    </row>
    <row r="23" spans="1:53" ht="12.75">
      <c r="A23" s="22"/>
      <c r="B23" s="376" t="s">
        <v>19</v>
      </c>
      <c r="C23" s="377"/>
      <c r="D23" s="377"/>
      <c r="E23" s="378"/>
      <c r="F23" s="379" t="s">
        <v>58</v>
      </c>
      <c r="G23" s="380"/>
      <c r="H23" s="380"/>
      <c r="I23" s="381"/>
      <c r="J23" s="374" t="s">
        <v>59</v>
      </c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69"/>
      <c r="AG23" s="370"/>
      <c r="AH23" s="370"/>
      <c r="AI23" s="371"/>
      <c r="AJ23" s="369" t="s">
        <v>60</v>
      </c>
      <c r="AK23" s="370"/>
      <c r="AL23" s="370"/>
      <c r="AM23" s="371"/>
      <c r="AN23" s="369" t="s">
        <v>61</v>
      </c>
      <c r="AO23" s="370"/>
      <c r="AP23" s="370"/>
      <c r="AQ23" s="371"/>
      <c r="AR23" s="24"/>
      <c r="AS23" s="55"/>
      <c r="AT23" s="55">
        <f>1388600+11/11*(196000+26800)</f>
        <v>1611400</v>
      </c>
      <c r="AU23" s="55"/>
      <c r="AV23" s="56">
        <f t="shared" si="1"/>
        <v>1611400</v>
      </c>
      <c r="AW23" s="32"/>
      <c r="AX23" s="28">
        <v>2205773</v>
      </c>
      <c r="AY23" s="29">
        <f t="shared" si="0"/>
        <v>594373</v>
      </c>
      <c r="AZ23" s="25"/>
      <c r="BA23" s="30"/>
    </row>
    <row r="24" spans="1:53" ht="12.75">
      <c r="A24" s="22"/>
      <c r="B24" s="376" t="s">
        <v>19</v>
      </c>
      <c r="C24" s="377"/>
      <c r="D24" s="377"/>
      <c r="E24" s="378"/>
      <c r="F24" s="379" t="s">
        <v>62</v>
      </c>
      <c r="G24" s="380"/>
      <c r="H24" s="380"/>
      <c r="I24" s="381"/>
      <c r="J24" s="374" t="s">
        <v>63</v>
      </c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69" t="s">
        <v>64</v>
      </c>
      <c r="AG24" s="370"/>
      <c r="AH24" s="370"/>
      <c r="AI24" s="371"/>
      <c r="AJ24" s="369" t="s">
        <v>65</v>
      </c>
      <c r="AK24" s="370"/>
      <c r="AL24" s="370"/>
      <c r="AM24" s="371"/>
      <c r="AN24" s="369" t="s">
        <v>66</v>
      </c>
      <c r="AO24" s="370"/>
      <c r="AP24" s="370"/>
      <c r="AQ24" s="371"/>
      <c r="AR24" s="24"/>
      <c r="AS24" s="55">
        <v>37667000</v>
      </c>
      <c r="AT24" s="55">
        <v>46663000</v>
      </c>
      <c r="AU24" s="55"/>
      <c r="AV24" s="56">
        <f t="shared" si="1"/>
        <v>46663000</v>
      </c>
      <c r="AW24" s="32"/>
      <c r="AX24" s="28">
        <v>43676180.21</v>
      </c>
      <c r="AY24" s="29">
        <f t="shared" si="0"/>
        <v>-2986819.789999999</v>
      </c>
      <c r="AZ24" s="25"/>
      <c r="BA24" s="30">
        <f>2013/2013*37667000*0+9/9*35728000*0+11/11*35993000+1337000</f>
        <v>37330000</v>
      </c>
    </row>
    <row r="25" spans="1:53" ht="12.75">
      <c r="A25" s="22"/>
      <c r="B25" s="376" t="s">
        <v>19</v>
      </c>
      <c r="C25" s="377"/>
      <c r="D25" s="377"/>
      <c r="E25" s="378"/>
      <c r="F25" s="379" t="s">
        <v>67</v>
      </c>
      <c r="G25" s="380"/>
      <c r="H25" s="380"/>
      <c r="I25" s="381"/>
      <c r="J25" s="374" t="s">
        <v>68</v>
      </c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69" t="s">
        <v>69</v>
      </c>
      <c r="AG25" s="370"/>
      <c r="AH25" s="370"/>
      <c r="AI25" s="371"/>
      <c r="AJ25" s="369" t="s">
        <v>69</v>
      </c>
      <c r="AK25" s="370"/>
      <c r="AL25" s="370"/>
      <c r="AM25" s="371"/>
      <c r="AN25" s="369" t="s">
        <v>70</v>
      </c>
      <c r="AO25" s="370"/>
      <c r="AP25" s="370"/>
      <c r="AQ25" s="371"/>
      <c r="AR25" s="24"/>
      <c r="AS25" s="55">
        <v>19000000</v>
      </c>
      <c r="AT25" s="55">
        <v>19000000</v>
      </c>
      <c r="AU25" s="55">
        <f>-5652000+1974600-59500-(97155300-96166800)</f>
        <v>-4725400</v>
      </c>
      <c r="AV25" s="56">
        <f t="shared" si="1"/>
        <v>14274600</v>
      </c>
      <c r="AW25" s="32"/>
      <c r="AX25" s="28">
        <v>3500000</v>
      </c>
      <c r="AY25" s="29">
        <f t="shared" si="0"/>
        <v>-10774600</v>
      </c>
      <c r="AZ25" s="25"/>
      <c r="BA25" s="30">
        <v>19000000</v>
      </c>
    </row>
    <row r="26" spans="1:53" ht="12.75" hidden="1">
      <c r="A26" s="22"/>
      <c r="B26" s="376" t="s">
        <v>19</v>
      </c>
      <c r="C26" s="377"/>
      <c r="D26" s="377"/>
      <c r="E26" s="378"/>
      <c r="F26" s="380" t="s">
        <v>71</v>
      </c>
      <c r="G26" s="380"/>
      <c r="H26" s="380"/>
      <c r="I26" s="380"/>
      <c r="J26" s="374" t="s">
        <v>72</v>
      </c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69" t="s">
        <v>73</v>
      </c>
      <c r="AG26" s="370"/>
      <c r="AH26" s="370"/>
      <c r="AI26" s="371"/>
      <c r="AJ26" s="369" t="s">
        <v>73</v>
      </c>
      <c r="AK26" s="370"/>
      <c r="AL26" s="370"/>
      <c r="AM26" s="371"/>
      <c r="AN26" s="369" t="s">
        <v>74</v>
      </c>
      <c r="AO26" s="370"/>
      <c r="AP26" s="370"/>
      <c r="AQ26" s="371"/>
      <c r="AR26" s="24"/>
      <c r="AS26" s="55">
        <f>91049000*0</f>
        <v>0</v>
      </c>
      <c r="AT26" s="55">
        <f>91049000*0</f>
        <v>0</v>
      </c>
      <c r="AU26" s="55"/>
      <c r="AV26" s="56">
        <f t="shared" si="1"/>
        <v>0</v>
      </c>
      <c r="AW26" s="32"/>
      <c r="AX26" s="28">
        <f>73477119.34*0</f>
        <v>0</v>
      </c>
      <c r="AY26" s="29">
        <f t="shared" si="0"/>
        <v>0</v>
      </c>
      <c r="AZ26" s="25"/>
      <c r="BA26" s="30">
        <f>91049000*0</f>
        <v>0</v>
      </c>
    </row>
    <row r="27" spans="1:53" ht="12.75">
      <c r="A27" s="22"/>
      <c r="B27" s="382" t="s">
        <v>19</v>
      </c>
      <c r="C27" s="383"/>
      <c r="D27" s="383"/>
      <c r="E27" s="384"/>
      <c r="F27" s="385" t="s">
        <v>75</v>
      </c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66" t="s">
        <v>76</v>
      </c>
      <c r="AG27" s="367"/>
      <c r="AH27" s="367"/>
      <c r="AI27" s="368"/>
      <c r="AJ27" s="366" t="s">
        <v>77</v>
      </c>
      <c r="AK27" s="367"/>
      <c r="AL27" s="367"/>
      <c r="AM27" s="368"/>
      <c r="AN27" s="366" t="s">
        <v>78</v>
      </c>
      <c r="AO27" s="367"/>
      <c r="AP27" s="367"/>
      <c r="AQ27" s="368"/>
      <c r="AR27" s="24"/>
      <c r="AS27" s="57">
        <f>SUM(AS13:AS26)</f>
        <v>84020000</v>
      </c>
      <c r="AT27" s="57">
        <f>SUM(AT13:AT26)</f>
        <v>97422800</v>
      </c>
      <c r="AU27" s="57"/>
      <c r="AV27" s="57">
        <f>SUM(AV13:AV26)</f>
        <v>92794400</v>
      </c>
      <c r="AW27" s="33">
        <f>AV27-AT27</f>
        <v>-4628400</v>
      </c>
      <c r="AX27" s="34">
        <f>SUM(AX13:AX26)</f>
        <v>72596006.77</v>
      </c>
      <c r="AY27" s="35">
        <f>SUM(AY13:AY26)</f>
        <v>-20198393.23</v>
      </c>
      <c r="AZ27" s="25"/>
      <c r="BA27" s="36">
        <f>SUM(BA13:BA26)</f>
        <v>82628000</v>
      </c>
    </row>
    <row r="28" spans="1:53" ht="12.75">
      <c r="A28" s="22"/>
      <c r="B28" s="376" t="s">
        <v>79</v>
      </c>
      <c r="C28" s="377"/>
      <c r="D28" s="377"/>
      <c r="E28" s="378"/>
      <c r="F28" s="380" t="s">
        <v>80</v>
      </c>
      <c r="G28" s="380"/>
      <c r="H28" s="380"/>
      <c r="I28" s="380"/>
      <c r="J28" s="386" t="s">
        <v>81</v>
      </c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87"/>
      <c r="AF28" s="369" t="s">
        <v>22</v>
      </c>
      <c r="AG28" s="370"/>
      <c r="AH28" s="370"/>
      <c r="AI28" s="371"/>
      <c r="AJ28" s="369" t="s">
        <v>22</v>
      </c>
      <c r="AK28" s="370"/>
      <c r="AL28" s="370"/>
      <c r="AM28" s="371"/>
      <c r="AN28" s="369" t="s">
        <v>82</v>
      </c>
      <c r="AO28" s="370"/>
      <c r="AP28" s="370"/>
      <c r="AQ28" s="371"/>
      <c r="AR28" s="24"/>
      <c r="AS28" s="55">
        <v>250000</v>
      </c>
      <c r="AT28" s="55">
        <v>250000</v>
      </c>
      <c r="AU28" s="55"/>
      <c r="AV28" s="56">
        <f t="shared" si="1"/>
        <v>250000</v>
      </c>
      <c r="AW28" s="32"/>
      <c r="AX28" s="28">
        <v>141597.9</v>
      </c>
      <c r="AY28" s="29">
        <f>AX28-AV28</f>
        <v>-108402.1</v>
      </c>
      <c r="AZ28" s="25"/>
      <c r="BA28" s="30">
        <v>250000</v>
      </c>
    </row>
    <row r="29" spans="1:53" ht="12.75">
      <c r="A29" s="22"/>
      <c r="B29" s="382" t="s">
        <v>79</v>
      </c>
      <c r="C29" s="383"/>
      <c r="D29" s="383"/>
      <c r="E29" s="384"/>
      <c r="F29" s="385" t="s">
        <v>83</v>
      </c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66" t="s">
        <v>22</v>
      </c>
      <c r="AG29" s="367"/>
      <c r="AH29" s="367"/>
      <c r="AI29" s="368"/>
      <c r="AJ29" s="366" t="s">
        <v>22</v>
      </c>
      <c r="AK29" s="367"/>
      <c r="AL29" s="367"/>
      <c r="AM29" s="368"/>
      <c r="AN29" s="366" t="s">
        <v>82</v>
      </c>
      <c r="AO29" s="367"/>
      <c r="AP29" s="367"/>
      <c r="AQ29" s="368"/>
      <c r="AR29" s="24"/>
      <c r="AS29" s="57">
        <f>AS28</f>
        <v>250000</v>
      </c>
      <c r="AT29" s="57">
        <f>AT28</f>
        <v>250000</v>
      </c>
      <c r="AU29" s="57"/>
      <c r="AV29" s="57">
        <f>AV28</f>
        <v>250000</v>
      </c>
      <c r="AW29" s="33">
        <f>AV29-AT29</f>
        <v>0</v>
      </c>
      <c r="AX29" s="34">
        <f>AX28</f>
        <v>141597.9</v>
      </c>
      <c r="AY29" s="35">
        <f>AY28</f>
        <v>-108402.1</v>
      </c>
      <c r="AZ29" s="25"/>
      <c r="BA29" s="36">
        <f>BA28</f>
        <v>250000</v>
      </c>
    </row>
    <row r="30" spans="1:53" ht="12.75">
      <c r="A30" s="22"/>
      <c r="B30" s="376" t="s">
        <v>84</v>
      </c>
      <c r="C30" s="377"/>
      <c r="D30" s="377"/>
      <c r="E30" s="378"/>
      <c r="F30" s="380" t="s">
        <v>85</v>
      </c>
      <c r="G30" s="380"/>
      <c r="H30" s="380"/>
      <c r="I30" s="380"/>
      <c r="J30" s="386" t="s">
        <v>86</v>
      </c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87"/>
      <c r="AF30" s="369" t="s">
        <v>87</v>
      </c>
      <c r="AG30" s="370"/>
      <c r="AH30" s="370"/>
      <c r="AI30" s="371"/>
      <c r="AJ30" s="369" t="s">
        <v>87</v>
      </c>
      <c r="AK30" s="370"/>
      <c r="AL30" s="370"/>
      <c r="AM30" s="371"/>
      <c r="AN30" s="369" t="s">
        <v>88</v>
      </c>
      <c r="AO30" s="370"/>
      <c r="AP30" s="370"/>
      <c r="AQ30" s="371"/>
      <c r="AR30" s="24"/>
      <c r="AS30" s="55">
        <v>150000</v>
      </c>
      <c r="AT30" s="55">
        <v>150000</v>
      </c>
      <c r="AU30" s="55"/>
      <c r="AV30" s="56">
        <f t="shared" si="1"/>
        <v>150000</v>
      </c>
      <c r="AW30" s="32"/>
      <c r="AX30" s="28">
        <v>139868</v>
      </c>
      <c r="AY30" s="29">
        <f>AX30-AV30</f>
        <v>-10132</v>
      </c>
      <c r="AZ30" s="25"/>
      <c r="BA30" s="30">
        <v>150000</v>
      </c>
    </row>
    <row r="31" spans="1:53" ht="12.75">
      <c r="A31" s="22"/>
      <c r="B31" s="382" t="s">
        <v>84</v>
      </c>
      <c r="C31" s="383"/>
      <c r="D31" s="383"/>
      <c r="E31" s="384"/>
      <c r="F31" s="385" t="s">
        <v>89</v>
      </c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66" t="s">
        <v>87</v>
      </c>
      <c r="AG31" s="367"/>
      <c r="AH31" s="367"/>
      <c r="AI31" s="368"/>
      <c r="AJ31" s="366" t="s">
        <v>87</v>
      </c>
      <c r="AK31" s="367"/>
      <c r="AL31" s="367"/>
      <c r="AM31" s="368"/>
      <c r="AN31" s="366" t="s">
        <v>88</v>
      </c>
      <c r="AO31" s="367"/>
      <c r="AP31" s="367"/>
      <c r="AQ31" s="368"/>
      <c r="AR31" s="24"/>
      <c r="AS31" s="57">
        <f>AS30</f>
        <v>150000</v>
      </c>
      <c r="AT31" s="57">
        <f>AT30</f>
        <v>150000</v>
      </c>
      <c r="AU31" s="57"/>
      <c r="AV31" s="57">
        <f>AV30</f>
        <v>150000</v>
      </c>
      <c r="AW31" s="33">
        <f>AV31-AT31</f>
        <v>0</v>
      </c>
      <c r="AX31" s="34">
        <f>AX30</f>
        <v>139868</v>
      </c>
      <c r="AY31" s="35">
        <f>AY30</f>
        <v>-10132</v>
      </c>
      <c r="AZ31" s="25"/>
      <c r="BA31" s="36">
        <f>BA30</f>
        <v>150000</v>
      </c>
    </row>
    <row r="32" spans="1:53" ht="12.75">
      <c r="A32" s="22"/>
      <c r="B32" s="376" t="s">
        <v>90</v>
      </c>
      <c r="C32" s="377"/>
      <c r="D32" s="377"/>
      <c r="E32" s="378"/>
      <c r="F32" s="380" t="s">
        <v>85</v>
      </c>
      <c r="G32" s="380"/>
      <c r="H32" s="380"/>
      <c r="I32" s="380"/>
      <c r="J32" s="386" t="s">
        <v>86</v>
      </c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87"/>
      <c r="AF32" s="369" t="s">
        <v>91</v>
      </c>
      <c r="AG32" s="370"/>
      <c r="AH32" s="370"/>
      <c r="AI32" s="371"/>
      <c r="AJ32" s="369" t="s">
        <v>91</v>
      </c>
      <c r="AK32" s="370"/>
      <c r="AL32" s="370"/>
      <c r="AM32" s="371"/>
      <c r="AN32" s="369" t="s">
        <v>92</v>
      </c>
      <c r="AO32" s="370"/>
      <c r="AP32" s="370"/>
      <c r="AQ32" s="371"/>
      <c r="AR32" s="24"/>
      <c r="AS32" s="55">
        <v>50000</v>
      </c>
      <c r="AT32" s="55">
        <v>50000</v>
      </c>
      <c r="AU32" s="55"/>
      <c r="AV32" s="56">
        <f t="shared" si="1"/>
        <v>50000</v>
      </c>
      <c r="AW32" s="32"/>
      <c r="AX32" s="28">
        <v>36500</v>
      </c>
      <c r="AY32" s="29">
        <f>AX32-AV32</f>
        <v>-13500</v>
      </c>
      <c r="AZ32" s="25"/>
      <c r="BA32" s="30">
        <v>50000</v>
      </c>
    </row>
    <row r="33" spans="1:53" ht="12.75">
      <c r="A33" s="22"/>
      <c r="B33" s="382" t="s">
        <v>90</v>
      </c>
      <c r="C33" s="383"/>
      <c r="D33" s="383"/>
      <c r="E33" s="384"/>
      <c r="F33" s="385" t="s">
        <v>93</v>
      </c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66" t="s">
        <v>91</v>
      </c>
      <c r="AG33" s="367"/>
      <c r="AH33" s="367"/>
      <c r="AI33" s="368"/>
      <c r="AJ33" s="366" t="s">
        <v>91</v>
      </c>
      <c r="AK33" s="367"/>
      <c r="AL33" s="367"/>
      <c r="AM33" s="368"/>
      <c r="AN33" s="366" t="s">
        <v>92</v>
      </c>
      <c r="AO33" s="367"/>
      <c r="AP33" s="367"/>
      <c r="AQ33" s="368"/>
      <c r="AR33" s="24"/>
      <c r="AS33" s="57">
        <f>AS32</f>
        <v>50000</v>
      </c>
      <c r="AT33" s="57">
        <f>AT32</f>
        <v>50000</v>
      </c>
      <c r="AU33" s="57"/>
      <c r="AV33" s="57">
        <f>AV32</f>
        <v>50000</v>
      </c>
      <c r="AW33" s="33">
        <f>AV33-AT33</f>
        <v>0</v>
      </c>
      <c r="AX33" s="34">
        <f>AX32</f>
        <v>36500</v>
      </c>
      <c r="AY33" s="35">
        <f>AY32</f>
        <v>-13500</v>
      </c>
      <c r="AZ33" s="25"/>
      <c r="BA33" s="36">
        <f>BA32</f>
        <v>50000</v>
      </c>
    </row>
    <row r="34" spans="1:53" ht="12.75">
      <c r="A34" s="22"/>
      <c r="B34" s="376" t="s">
        <v>94</v>
      </c>
      <c r="C34" s="377"/>
      <c r="D34" s="377"/>
      <c r="E34" s="378"/>
      <c r="F34" s="380" t="s">
        <v>95</v>
      </c>
      <c r="G34" s="380"/>
      <c r="H34" s="380"/>
      <c r="I34" s="380"/>
      <c r="J34" s="386" t="s">
        <v>96</v>
      </c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87"/>
      <c r="AF34" s="369"/>
      <c r="AG34" s="370"/>
      <c r="AH34" s="370"/>
      <c r="AI34" s="371"/>
      <c r="AJ34" s="369"/>
      <c r="AK34" s="370"/>
      <c r="AL34" s="370"/>
      <c r="AM34" s="371"/>
      <c r="AN34" s="369" t="s">
        <v>97</v>
      </c>
      <c r="AO34" s="370"/>
      <c r="AP34" s="370"/>
      <c r="AQ34" s="371"/>
      <c r="AR34" s="24"/>
      <c r="AS34" s="55"/>
      <c r="AT34" s="55"/>
      <c r="AU34" s="55"/>
      <c r="AV34" s="56">
        <f t="shared" si="1"/>
        <v>0</v>
      </c>
      <c r="AW34" s="32"/>
      <c r="AX34" s="28">
        <v>106232.2</v>
      </c>
      <c r="AY34" s="29">
        <f>AX34-AV34</f>
        <v>106232.2</v>
      </c>
      <c r="AZ34" s="25"/>
      <c r="BA34" s="30"/>
    </row>
    <row r="35" spans="1:53" ht="12.75">
      <c r="A35" s="22"/>
      <c r="B35" s="382" t="s">
        <v>94</v>
      </c>
      <c r="C35" s="383"/>
      <c r="D35" s="383"/>
      <c r="E35" s="384"/>
      <c r="F35" s="385" t="s">
        <v>98</v>
      </c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66"/>
      <c r="AG35" s="367"/>
      <c r="AH35" s="367"/>
      <c r="AI35" s="368"/>
      <c r="AJ35" s="366"/>
      <c r="AK35" s="367"/>
      <c r="AL35" s="367"/>
      <c r="AM35" s="368"/>
      <c r="AN35" s="366" t="s">
        <v>97</v>
      </c>
      <c r="AO35" s="367"/>
      <c r="AP35" s="367"/>
      <c r="AQ35" s="368"/>
      <c r="AR35" s="24"/>
      <c r="AS35" s="57">
        <f>AS34</f>
        <v>0</v>
      </c>
      <c r="AT35" s="57">
        <f>AT34</f>
        <v>0</v>
      </c>
      <c r="AU35" s="57"/>
      <c r="AV35" s="57">
        <f>AV34</f>
        <v>0</v>
      </c>
      <c r="AW35" s="33"/>
      <c r="AX35" s="34">
        <f>AX34</f>
        <v>106232.2</v>
      </c>
      <c r="AY35" s="35">
        <f>AY34</f>
        <v>106232.2</v>
      </c>
      <c r="AZ35" s="25"/>
      <c r="BA35" s="36">
        <f>BA34</f>
        <v>0</v>
      </c>
    </row>
    <row r="36" spans="1:53" ht="12.75">
      <c r="A36" s="22"/>
      <c r="B36" s="376" t="s">
        <v>99</v>
      </c>
      <c r="C36" s="377"/>
      <c r="D36" s="377"/>
      <c r="E36" s="378"/>
      <c r="F36" s="380" t="s">
        <v>85</v>
      </c>
      <c r="G36" s="380"/>
      <c r="H36" s="380"/>
      <c r="I36" s="380"/>
      <c r="J36" s="386" t="s">
        <v>86</v>
      </c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87"/>
      <c r="AF36" s="369" t="s">
        <v>100</v>
      </c>
      <c r="AG36" s="370"/>
      <c r="AH36" s="370"/>
      <c r="AI36" s="371"/>
      <c r="AJ36" s="369" t="s">
        <v>100</v>
      </c>
      <c r="AK36" s="370"/>
      <c r="AL36" s="370"/>
      <c r="AM36" s="371"/>
      <c r="AN36" s="369" t="s">
        <v>101</v>
      </c>
      <c r="AO36" s="370"/>
      <c r="AP36" s="370"/>
      <c r="AQ36" s="371"/>
      <c r="AR36" s="24"/>
      <c r="AS36" s="55">
        <v>500000</v>
      </c>
      <c r="AT36" s="55">
        <v>500000</v>
      </c>
      <c r="AU36" s="55"/>
      <c r="AV36" s="56">
        <f t="shared" si="1"/>
        <v>500000</v>
      </c>
      <c r="AW36" s="32"/>
      <c r="AX36" s="28">
        <v>462013</v>
      </c>
      <c r="AY36" s="29">
        <f>AX36-AV36</f>
        <v>-37987</v>
      </c>
      <c r="AZ36" s="25"/>
      <c r="BA36" s="30">
        <v>500000</v>
      </c>
    </row>
    <row r="37" spans="1:53" ht="12.75">
      <c r="A37" s="22"/>
      <c r="B37" s="382" t="s">
        <v>99</v>
      </c>
      <c r="C37" s="383"/>
      <c r="D37" s="383"/>
      <c r="E37" s="384"/>
      <c r="F37" s="385" t="s">
        <v>102</v>
      </c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66" t="s">
        <v>100</v>
      </c>
      <c r="AG37" s="367"/>
      <c r="AH37" s="367"/>
      <c r="AI37" s="368"/>
      <c r="AJ37" s="366" t="s">
        <v>100</v>
      </c>
      <c r="AK37" s="367"/>
      <c r="AL37" s="367"/>
      <c r="AM37" s="368"/>
      <c r="AN37" s="366" t="s">
        <v>101</v>
      </c>
      <c r="AO37" s="367"/>
      <c r="AP37" s="367"/>
      <c r="AQ37" s="368"/>
      <c r="AR37" s="24"/>
      <c r="AS37" s="57">
        <f>AS36</f>
        <v>500000</v>
      </c>
      <c r="AT37" s="57">
        <f>AT36</f>
        <v>500000</v>
      </c>
      <c r="AU37" s="57"/>
      <c r="AV37" s="57">
        <f>AV36</f>
        <v>500000</v>
      </c>
      <c r="AW37" s="33">
        <f>AV37-AT37</f>
        <v>0</v>
      </c>
      <c r="AX37" s="34">
        <f>AX36</f>
        <v>462013</v>
      </c>
      <c r="AY37" s="35">
        <f>AY36</f>
        <v>-37987</v>
      </c>
      <c r="AZ37" s="25"/>
      <c r="BA37" s="36">
        <f>BA36</f>
        <v>500000</v>
      </c>
    </row>
    <row r="38" spans="1:53" ht="12.75">
      <c r="A38" s="22"/>
      <c r="B38" s="376" t="s">
        <v>103</v>
      </c>
      <c r="C38" s="377"/>
      <c r="D38" s="377"/>
      <c r="E38" s="378"/>
      <c r="F38" s="380" t="s">
        <v>104</v>
      </c>
      <c r="G38" s="380"/>
      <c r="H38" s="380"/>
      <c r="I38" s="380"/>
      <c r="J38" s="386" t="s">
        <v>105</v>
      </c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87"/>
      <c r="AF38" s="369" t="s">
        <v>100</v>
      </c>
      <c r="AG38" s="370"/>
      <c r="AH38" s="370"/>
      <c r="AI38" s="371"/>
      <c r="AJ38" s="369" t="s">
        <v>100</v>
      </c>
      <c r="AK38" s="370"/>
      <c r="AL38" s="370"/>
      <c r="AM38" s="371"/>
      <c r="AN38" s="369" t="s">
        <v>106</v>
      </c>
      <c r="AO38" s="370"/>
      <c r="AP38" s="370"/>
      <c r="AQ38" s="371"/>
      <c r="AR38" s="24"/>
      <c r="AS38" s="55">
        <v>500000</v>
      </c>
      <c r="AT38" s="55">
        <v>500000</v>
      </c>
      <c r="AU38" s="55"/>
      <c r="AV38" s="56">
        <f t="shared" si="1"/>
        <v>500000</v>
      </c>
      <c r="AW38" s="32"/>
      <c r="AX38" s="28">
        <v>497000</v>
      </c>
      <c r="AY38" s="29">
        <f>AX38-AV38</f>
        <v>-3000</v>
      </c>
      <c r="AZ38" s="25"/>
      <c r="BA38" s="30">
        <v>500000</v>
      </c>
    </row>
    <row r="39" spans="1:53" ht="12.75">
      <c r="A39" s="22"/>
      <c r="B39" s="376" t="s">
        <v>103</v>
      </c>
      <c r="C39" s="377"/>
      <c r="D39" s="377"/>
      <c r="E39" s="378"/>
      <c r="F39" s="380" t="s">
        <v>107</v>
      </c>
      <c r="G39" s="380"/>
      <c r="H39" s="380"/>
      <c r="I39" s="380"/>
      <c r="J39" s="386" t="s">
        <v>108</v>
      </c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87"/>
      <c r="AF39" s="369"/>
      <c r="AG39" s="370"/>
      <c r="AH39" s="370"/>
      <c r="AI39" s="371"/>
      <c r="AJ39" s="369" t="s">
        <v>109</v>
      </c>
      <c r="AK39" s="370"/>
      <c r="AL39" s="370"/>
      <c r="AM39" s="371"/>
      <c r="AN39" s="369" t="s">
        <v>110</v>
      </c>
      <c r="AO39" s="370"/>
      <c r="AP39" s="370"/>
      <c r="AQ39" s="371"/>
      <c r="AR39" s="24"/>
      <c r="AS39" s="55"/>
      <c r="AT39" s="55">
        <v>1557900</v>
      </c>
      <c r="AU39" s="55"/>
      <c r="AV39" s="56">
        <f t="shared" si="1"/>
        <v>1557900</v>
      </c>
      <c r="AW39" s="32"/>
      <c r="AX39" s="28">
        <v>1280000</v>
      </c>
      <c r="AY39" s="29">
        <f>AX39-AV39</f>
        <v>-277900</v>
      </c>
      <c r="AZ39" s="25"/>
      <c r="BA39" s="30"/>
    </row>
    <row r="40" spans="1:53" ht="12.75">
      <c r="A40" s="22"/>
      <c r="B40" s="376" t="s">
        <v>103</v>
      </c>
      <c r="C40" s="377"/>
      <c r="D40" s="377"/>
      <c r="E40" s="378"/>
      <c r="F40" s="380" t="s">
        <v>111</v>
      </c>
      <c r="G40" s="380"/>
      <c r="H40" s="380"/>
      <c r="I40" s="380"/>
      <c r="J40" s="386" t="s">
        <v>112</v>
      </c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87"/>
      <c r="AF40" s="369"/>
      <c r="AG40" s="370"/>
      <c r="AH40" s="370"/>
      <c r="AI40" s="371"/>
      <c r="AJ40" s="369" t="s">
        <v>113</v>
      </c>
      <c r="AK40" s="370"/>
      <c r="AL40" s="370"/>
      <c r="AM40" s="371"/>
      <c r="AN40" s="369" t="s">
        <v>114</v>
      </c>
      <c r="AO40" s="370"/>
      <c r="AP40" s="370"/>
      <c r="AQ40" s="371"/>
      <c r="AR40" s="24"/>
      <c r="AS40" s="55"/>
      <c r="AT40" s="55">
        <f>82000</f>
        <v>82000</v>
      </c>
      <c r="AU40" s="55">
        <f>AV40-AT40</f>
        <v>16000</v>
      </c>
      <c r="AV40" s="55">
        <f>82000+16000</f>
        <v>98000</v>
      </c>
      <c r="AW40" s="27"/>
      <c r="AX40" s="28">
        <v>97510</v>
      </c>
      <c r="AY40" s="29">
        <f>AX40-AV40</f>
        <v>-490</v>
      </c>
      <c r="AZ40" s="25"/>
      <c r="BA40" s="30"/>
    </row>
    <row r="41" spans="1:53" ht="12.75">
      <c r="A41" s="22"/>
      <c r="B41" s="376" t="s">
        <v>103</v>
      </c>
      <c r="C41" s="377"/>
      <c r="D41" s="377"/>
      <c r="E41" s="378"/>
      <c r="F41" s="380" t="s">
        <v>115</v>
      </c>
      <c r="G41" s="380"/>
      <c r="H41" s="380"/>
      <c r="I41" s="380"/>
      <c r="J41" s="386" t="s">
        <v>116</v>
      </c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87"/>
      <c r="AF41" s="369"/>
      <c r="AG41" s="370"/>
      <c r="AH41" s="370"/>
      <c r="AI41" s="371"/>
      <c r="AJ41" s="369" t="s">
        <v>117</v>
      </c>
      <c r="AK41" s="370"/>
      <c r="AL41" s="370"/>
      <c r="AM41" s="371"/>
      <c r="AN41" s="369" t="s">
        <v>118</v>
      </c>
      <c r="AO41" s="370"/>
      <c r="AP41" s="370"/>
      <c r="AQ41" s="371"/>
      <c r="AR41" s="24"/>
      <c r="AS41" s="55"/>
      <c r="AT41" s="55">
        <f>70000</f>
        <v>70000</v>
      </c>
      <c r="AU41" s="55">
        <f>AV41-AT41</f>
        <v>14000</v>
      </c>
      <c r="AV41" s="55">
        <f>70000+14000</f>
        <v>84000</v>
      </c>
      <c r="AW41" s="27"/>
      <c r="AX41" s="28">
        <v>83993.2</v>
      </c>
      <c r="AY41" s="29">
        <f>AX41-AV41</f>
        <v>-6.80000000000291</v>
      </c>
      <c r="AZ41" s="25"/>
      <c r="BA41" s="30"/>
    </row>
    <row r="42" spans="1:53" ht="12.75">
      <c r="A42" s="22"/>
      <c r="B42" s="382" t="s">
        <v>103</v>
      </c>
      <c r="C42" s="383"/>
      <c r="D42" s="383"/>
      <c r="E42" s="384"/>
      <c r="F42" s="385" t="s">
        <v>119</v>
      </c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66" t="s">
        <v>100</v>
      </c>
      <c r="AG42" s="367"/>
      <c r="AH42" s="367"/>
      <c r="AI42" s="368"/>
      <c r="AJ42" s="366" t="s">
        <v>120</v>
      </c>
      <c r="AK42" s="367"/>
      <c r="AL42" s="367"/>
      <c r="AM42" s="368"/>
      <c r="AN42" s="366" t="s">
        <v>121</v>
      </c>
      <c r="AO42" s="367"/>
      <c r="AP42" s="367"/>
      <c r="AQ42" s="368"/>
      <c r="AR42" s="24"/>
      <c r="AS42" s="57">
        <f>SUM(AS38:AS41)</f>
        <v>500000</v>
      </c>
      <c r="AT42" s="57">
        <f>SUM(AT38:AT41)</f>
        <v>2209900</v>
      </c>
      <c r="AU42" s="57"/>
      <c r="AV42" s="57">
        <f>SUM(AV38:AV41)</f>
        <v>2239900</v>
      </c>
      <c r="AW42" s="33">
        <f>AV42-AT42</f>
        <v>30000</v>
      </c>
      <c r="AX42" s="34">
        <f>SUM(AX38:AX41)</f>
        <v>1958503.2</v>
      </c>
      <c r="AY42" s="35">
        <f>SUM(AY38:AY41)</f>
        <v>-281396.8</v>
      </c>
      <c r="AZ42" s="25"/>
      <c r="BA42" s="36">
        <f>SUM(BA38:BA41)</f>
        <v>500000</v>
      </c>
    </row>
    <row r="43" spans="1:53" ht="12.75">
      <c r="A43" s="22"/>
      <c r="B43" s="376" t="s">
        <v>122</v>
      </c>
      <c r="C43" s="377"/>
      <c r="D43" s="377"/>
      <c r="E43" s="378"/>
      <c r="F43" s="380" t="s">
        <v>123</v>
      </c>
      <c r="G43" s="380"/>
      <c r="H43" s="380"/>
      <c r="I43" s="380"/>
      <c r="J43" s="386" t="s">
        <v>124</v>
      </c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87"/>
      <c r="AF43" s="369" t="s">
        <v>125</v>
      </c>
      <c r="AG43" s="370"/>
      <c r="AH43" s="370"/>
      <c r="AI43" s="371"/>
      <c r="AJ43" s="369" t="s">
        <v>125</v>
      </c>
      <c r="AK43" s="370"/>
      <c r="AL43" s="370"/>
      <c r="AM43" s="371"/>
      <c r="AN43" s="369" t="s">
        <v>126</v>
      </c>
      <c r="AO43" s="370"/>
      <c r="AP43" s="370"/>
      <c r="AQ43" s="371"/>
      <c r="AR43" s="24"/>
      <c r="AS43" s="55">
        <v>100000</v>
      </c>
      <c r="AT43" s="55">
        <v>100000</v>
      </c>
      <c r="AU43" s="55"/>
      <c r="AV43" s="56">
        <f t="shared" si="1"/>
        <v>100000</v>
      </c>
      <c r="AW43" s="32"/>
      <c r="AX43" s="28">
        <v>39901.15</v>
      </c>
      <c r="AY43" s="29">
        <f>AX43-AV43</f>
        <v>-60098.85</v>
      </c>
      <c r="AZ43" s="25"/>
      <c r="BA43" s="30">
        <v>100000</v>
      </c>
    </row>
    <row r="44" spans="1:53" ht="12.75">
      <c r="A44" s="22"/>
      <c r="B44" s="382" t="s">
        <v>122</v>
      </c>
      <c r="C44" s="383"/>
      <c r="D44" s="383"/>
      <c r="E44" s="384"/>
      <c r="F44" s="385" t="s">
        <v>127</v>
      </c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66" t="s">
        <v>125</v>
      </c>
      <c r="AG44" s="367"/>
      <c r="AH44" s="367"/>
      <c r="AI44" s="368"/>
      <c r="AJ44" s="366" t="s">
        <v>125</v>
      </c>
      <c r="AK44" s="367"/>
      <c r="AL44" s="367"/>
      <c r="AM44" s="368"/>
      <c r="AN44" s="366" t="s">
        <v>126</v>
      </c>
      <c r="AO44" s="367"/>
      <c r="AP44" s="367"/>
      <c r="AQ44" s="368"/>
      <c r="AR44" s="24"/>
      <c r="AS44" s="57">
        <f>AS43</f>
        <v>100000</v>
      </c>
      <c r="AT44" s="57">
        <f>AT43</f>
        <v>100000</v>
      </c>
      <c r="AU44" s="57"/>
      <c r="AV44" s="57">
        <f>AV43</f>
        <v>100000</v>
      </c>
      <c r="AW44" s="33">
        <f>AV44-AT44</f>
        <v>0</v>
      </c>
      <c r="AX44" s="34">
        <f>AX43</f>
        <v>39901.15</v>
      </c>
      <c r="AY44" s="35">
        <f>AY43</f>
        <v>-60098.85</v>
      </c>
      <c r="AZ44" s="25"/>
      <c r="BA44" s="36">
        <f>BA43</f>
        <v>100000</v>
      </c>
    </row>
    <row r="45" spans="1:53" ht="12.75">
      <c r="A45" s="22"/>
      <c r="B45" s="376" t="s">
        <v>128</v>
      </c>
      <c r="C45" s="377"/>
      <c r="D45" s="377"/>
      <c r="E45" s="378"/>
      <c r="F45" s="380" t="s">
        <v>129</v>
      </c>
      <c r="G45" s="380"/>
      <c r="H45" s="380"/>
      <c r="I45" s="380"/>
      <c r="J45" s="386" t="s">
        <v>130</v>
      </c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87"/>
      <c r="AF45" s="369"/>
      <c r="AG45" s="370"/>
      <c r="AH45" s="370"/>
      <c r="AI45" s="371"/>
      <c r="AJ45" s="369" t="s">
        <v>131</v>
      </c>
      <c r="AK45" s="370"/>
      <c r="AL45" s="370"/>
      <c r="AM45" s="371"/>
      <c r="AN45" s="369" t="s">
        <v>132</v>
      </c>
      <c r="AO45" s="370"/>
      <c r="AP45" s="370"/>
      <c r="AQ45" s="371"/>
      <c r="AR45" s="24"/>
      <c r="AS45" s="55"/>
      <c r="AT45" s="55">
        <v>82500</v>
      </c>
      <c r="AU45" s="55"/>
      <c r="AV45" s="56">
        <f t="shared" si="1"/>
        <v>82500</v>
      </c>
      <c r="AW45" s="32"/>
      <c r="AX45" s="28">
        <v>82456.27</v>
      </c>
      <c r="AY45" s="29">
        <f>AX45-AV45</f>
        <v>-43.729999999995925</v>
      </c>
      <c r="AZ45" s="25"/>
      <c r="BA45" s="30"/>
    </row>
    <row r="46" spans="1:53" ht="12.75">
      <c r="A46" s="22"/>
      <c r="B46" s="382" t="s">
        <v>128</v>
      </c>
      <c r="C46" s="383"/>
      <c r="D46" s="383"/>
      <c r="E46" s="384"/>
      <c r="F46" s="385" t="s">
        <v>133</v>
      </c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66"/>
      <c r="AG46" s="367"/>
      <c r="AH46" s="367"/>
      <c r="AI46" s="368"/>
      <c r="AJ46" s="366" t="s">
        <v>131</v>
      </c>
      <c r="AK46" s="367"/>
      <c r="AL46" s="367"/>
      <c r="AM46" s="368"/>
      <c r="AN46" s="366" t="s">
        <v>132</v>
      </c>
      <c r="AO46" s="367"/>
      <c r="AP46" s="367"/>
      <c r="AQ46" s="368"/>
      <c r="AR46" s="24"/>
      <c r="AS46" s="57">
        <f>AS45</f>
        <v>0</v>
      </c>
      <c r="AT46" s="57">
        <f>AT45</f>
        <v>82500</v>
      </c>
      <c r="AU46" s="57"/>
      <c r="AV46" s="57">
        <f>AV45</f>
        <v>82500</v>
      </c>
      <c r="AW46" s="33">
        <f>AV46-AT46</f>
        <v>0</v>
      </c>
      <c r="AX46" s="34">
        <f>AX45</f>
        <v>82456.27</v>
      </c>
      <c r="AY46" s="35">
        <f>AY45</f>
        <v>-43.729999999995925</v>
      </c>
      <c r="AZ46" s="25"/>
      <c r="BA46" s="36">
        <f>BA45</f>
        <v>0</v>
      </c>
    </row>
    <row r="47" spans="1:53" ht="12.75">
      <c r="A47" s="22"/>
      <c r="B47" s="376" t="s">
        <v>134</v>
      </c>
      <c r="C47" s="377"/>
      <c r="D47" s="377"/>
      <c r="E47" s="378"/>
      <c r="F47" s="380" t="s">
        <v>115</v>
      </c>
      <c r="G47" s="380"/>
      <c r="H47" s="380"/>
      <c r="I47" s="380"/>
      <c r="J47" s="386" t="s">
        <v>116</v>
      </c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87"/>
      <c r="AF47" s="369"/>
      <c r="AG47" s="370"/>
      <c r="AH47" s="370"/>
      <c r="AI47" s="371"/>
      <c r="AJ47" s="369"/>
      <c r="AK47" s="370"/>
      <c r="AL47" s="370"/>
      <c r="AM47" s="371"/>
      <c r="AN47" s="369" t="s">
        <v>135</v>
      </c>
      <c r="AO47" s="370"/>
      <c r="AP47" s="370"/>
      <c r="AQ47" s="371"/>
      <c r="AR47" s="24"/>
      <c r="AS47" s="55"/>
      <c r="AT47" s="55"/>
      <c r="AU47" s="55"/>
      <c r="AV47" s="55"/>
      <c r="AW47" s="27"/>
      <c r="AX47" s="28">
        <v>-60304</v>
      </c>
      <c r="AY47" s="29"/>
      <c r="AZ47" s="25"/>
      <c r="BA47" s="30"/>
    </row>
    <row r="48" spans="1:53" ht="12.75">
      <c r="A48" s="22"/>
      <c r="B48" s="382" t="s">
        <v>134</v>
      </c>
      <c r="C48" s="383"/>
      <c r="D48" s="383"/>
      <c r="E48" s="384"/>
      <c r="F48" s="385" t="s">
        <v>136</v>
      </c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66"/>
      <c r="AG48" s="367"/>
      <c r="AH48" s="367"/>
      <c r="AI48" s="368"/>
      <c r="AJ48" s="366"/>
      <c r="AK48" s="367"/>
      <c r="AL48" s="367"/>
      <c r="AM48" s="368"/>
      <c r="AN48" s="366" t="s">
        <v>135</v>
      </c>
      <c r="AO48" s="367"/>
      <c r="AP48" s="367"/>
      <c r="AQ48" s="368"/>
      <c r="AR48" s="24"/>
      <c r="AS48" s="57">
        <f>AS47</f>
        <v>0</v>
      </c>
      <c r="AT48" s="57">
        <f>AT47</f>
        <v>0</v>
      </c>
      <c r="AU48" s="57"/>
      <c r="AV48" s="57">
        <f>AV47</f>
        <v>0</v>
      </c>
      <c r="AW48" s="33"/>
      <c r="AX48" s="34">
        <f>AX47</f>
        <v>-60304</v>
      </c>
      <c r="AY48" s="35">
        <f>AY47</f>
        <v>0</v>
      </c>
      <c r="AZ48" s="25"/>
      <c r="BA48" s="36">
        <f>BA47</f>
        <v>0</v>
      </c>
    </row>
    <row r="49" spans="1:53" s="8" customFormat="1" ht="12.75">
      <c r="A49" s="37"/>
      <c r="B49" s="388" t="s">
        <v>137</v>
      </c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9" t="s">
        <v>138</v>
      </c>
      <c r="AG49" s="390"/>
      <c r="AH49" s="390"/>
      <c r="AI49" s="391"/>
      <c r="AJ49" s="389" t="s">
        <v>139</v>
      </c>
      <c r="AK49" s="390"/>
      <c r="AL49" s="390"/>
      <c r="AM49" s="391"/>
      <c r="AN49" s="389" t="s">
        <v>140</v>
      </c>
      <c r="AO49" s="390"/>
      <c r="AP49" s="390"/>
      <c r="AQ49" s="391"/>
      <c r="AR49" s="38"/>
      <c r="AS49" s="57">
        <f>SUM(AS13:AS48)/2</f>
        <v>85570000</v>
      </c>
      <c r="AT49" s="57">
        <f>SUM(AT13:AT48)/2</f>
        <v>100765200</v>
      </c>
      <c r="AU49" s="57">
        <f>SUM(AU13:AU48)</f>
        <v>-4598400</v>
      </c>
      <c r="AV49" s="57">
        <f>SUM(AV13:AV48)/2</f>
        <v>96166800</v>
      </c>
      <c r="AW49" s="33">
        <f>AV49-AT49</f>
        <v>-4598400</v>
      </c>
      <c r="AX49" s="34">
        <f>SUM(AX13:AX48)/2</f>
        <v>75502774.49</v>
      </c>
      <c r="AY49" s="35">
        <f>SUM(AY13:AY48)/2</f>
        <v>-20603721.509999994</v>
      </c>
      <c r="AZ49" s="25"/>
      <c r="BA49" s="36">
        <f>SUM(BA13:BA48)/2</f>
        <v>84178000</v>
      </c>
    </row>
    <row r="50" spans="1:53" ht="12.75">
      <c r="A50" s="39"/>
      <c r="B50" s="40"/>
      <c r="C50" s="40"/>
      <c r="D50" s="40"/>
      <c r="E50" s="40"/>
      <c r="F50" s="40"/>
      <c r="G50" s="40"/>
      <c r="H50" s="40"/>
      <c r="I50" s="40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27"/>
      <c r="AT50" s="27"/>
      <c r="AU50" s="27"/>
      <c r="AV50" s="27"/>
      <c r="AW50" s="27"/>
      <c r="AX50" s="28"/>
      <c r="AY50" s="29"/>
      <c r="AZ50" s="25"/>
      <c r="BA50" s="30"/>
    </row>
    <row r="51" spans="1:53" ht="12.75">
      <c r="A51" s="22"/>
      <c r="B51" s="392" t="s">
        <v>141</v>
      </c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24"/>
      <c r="AS51" s="27"/>
      <c r="AT51" s="27"/>
      <c r="AU51" s="27"/>
      <c r="AV51" s="27"/>
      <c r="AW51" s="27"/>
      <c r="AX51" s="28"/>
      <c r="AY51" s="29"/>
      <c r="AZ51" s="25"/>
      <c r="BA51" s="30"/>
    </row>
    <row r="52" spans="1:53" ht="12.75" hidden="1">
      <c r="A52" s="22"/>
      <c r="B52" s="372" t="s">
        <v>8</v>
      </c>
      <c r="C52" s="372"/>
      <c r="D52" s="372"/>
      <c r="E52" s="372"/>
      <c r="F52" s="372" t="s">
        <v>9</v>
      </c>
      <c r="G52" s="372"/>
      <c r="H52" s="372"/>
      <c r="I52" s="372"/>
      <c r="J52" s="393" t="s">
        <v>10</v>
      </c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73" t="s">
        <v>11</v>
      </c>
      <c r="AG52" s="373"/>
      <c r="AH52" s="373"/>
      <c r="AI52" s="373"/>
      <c r="AJ52" s="373" t="s">
        <v>12</v>
      </c>
      <c r="AK52" s="373"/>
      <c r="AL52" s="373"/>
      <c r="AM52" s="373"/>
      <c r="AN52" s="373" t="s">
        <v>13</v>
      </c>
      <c r="AO52" s="373"/>
      <c r="AP52" s="373"/>
      <c r="AQ52" s="373"/>
      <c r="AR52" s="24"/>
      <c r="AS52" s="27"/>
      <c r="AT52" s="27"/>
      <c r="AU52" s="27"/>
      <c r="AV52" s="27"/>
      <c r="AW52" s="27"/>
      <c r="AX52" s="28"/>
      <c r="AY52" s="29"/>
      <c r="AZ52" s="25"/>
      <c r="BA52" s="30"/>
    </row>
    <row r="53" spans="1:53" ht="12.75" hidden="1">
      <c r="A53" s="22"/>
      <c r="B53" s="372" t="s">
        <v>14</v>
      </c>
      <c r="C53" s="372"/>
      <c r="D53" s="372"/>
      <c r="E53" s="372"/>
      <c r="F53" s="372" t="s">
        <v>15</v>
      </c>
      <c r="G53" s="372"/>
      <c r="H53" s="372"/>
      <c r="I53" s="372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 t="s">
        <v>16</v>
      </c>
      <c r="AG53" s="373"/>
      <c r="AH53" s="373"/>
      <c r="AI53" s="373"/>
      <c r="AJ53" s="373" t="s">
        <v>17</v>
      </c>
      <c r="AK53" s="373"/>
      <c r="AL53" s="373"/>
      <c r="AM53" s="373"/>
      <c r="AN53" s="373" t="s">
        <v>18</v>
      </c>
      <c r="AO53" s="373"/>
      <c r="AP53" s="373"/>
      <c r="AQ53" s="373"/>
      <c r="AR53" s="24"/>
      <c r="AS53" s="27"/>
      <c r="AT53" s="27"/>
      <c r="AU53" s="27"/>
      <c r="AV53" s="27"/>
      <c r="AW53" s="27"/>
      <c r="AX53" s="28"/>
      <c r="AY53" s="29"/>
      <c r="AZ53" s="25"/>
      <c r="BA53" s="30"/>
    </row>
    <row r="54" spans="1:53" ht="12.75">
      <c r="A54" s="22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24"/>
      <c r="AS54" s="27"/>
      <c r="AT54" s="27"/>
      <c r="AU54" s="27"/>
      <c r="AV54" s="27"/>
      <c r="AW54" s="27"/>
      <c r="AX54" s="28"/>
      <c r="AY54" s="29"/>
      <c r="AZ54" s="25"/>
      <c r="BA54" s="30"/>
    </row>
    <row r="55" spans="1:53" ht="12.75" hidden="1">
      <c r="A55" s="394">
        <v>3</v>
      </c>
      <c r="B55" s="377" t="s">
        <v>104</v>
      </c>
      <c r="C55" s="377"/>
      <c r="D55" s="377"/>
      <c r="E55" s="377"/>
      <c r="F55" s="380" t="s">
        <v>142</v>
      </c>
      <c r="G55" s="380"/>
      <c r="H55" s="380"/>
      <c r="I55" s="380"/>
      <c r="J55" s="374" t="s">
        <v>143</v>
      </c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0" t="s">
        <v>144</v>
      </c>
      <c r="AG55" s="370"/>
      <c r="AH55" s="370"/>
      <c r="AI55" s="370"/>
      <c r="AJ55" s="370" t="s">
        <v>144</v>
      </c>
      <c r="AK55" s="370"/>
      <c r="AL55" s="370"/>
      <c r="AM55" s="370"/>
      <c r="AN55" s="370" t="s">
        <v>145</v>
      </c>
      <c r="AO55" s="370"/>
      <c r="AP55" s="370"/>
      <c r="AQ55" s="370"/>
      <c r="AR55" s="24"/>
      <c r="AS55" s="27">
        <v>200000</v>
      </c>
      <c r="AT55" s="27">
        <f>200000</f>
        <v>200000</v>
      </c>
      <c r="AU55" s="27">
        <f>AV55-AT55</f>
        <v>9000</v>
      </c>
      <c r="AV55" s="27">
        <f>200000+(215000-98011/98011*237000)*0+7000+2000</f>
        <v>209000</v>
      </c>
      <c r="AW55" s="27"/>
      <c r="AX55" s="28">
        <v>414836.15</v>
      </c>
      <c r="AY55" s="29">
        <f>AX55-AV55</f>
        <v>205836.15000000002</v>
      </c>
      <c r="AZ55" s="25"/>
      <c r="BA55" s="30">
        <v>200000</v>
      </c>
    </row>
    <row r="56" spans="1:53" ht="12.75" hidden="1">
      <c r="A56" s="395"/>
      <c r="B56" s="377" t="s">
        <v>104</v>
      </c>
      <c r="C56" s="377"/>
      <c r="D56" s="377"/>
      <c r="E56" s="377"/>
      <c r="F56" s="380" t="s">
        <v>146</v>
      </c>
      <c r="G56" s="380"/>
      <c r="H56" s="380"/>
      <c r="I56" s="380"/>
      <c r="J56" s="374" t="s">
        <v>147</v>
      </c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0" t="s">
        <v>148</v>
      </c>
      <c r="AG56" s="370"/>
      <c r="AH56" s="370"/>
      <c r="AI56" s="370"/>
      <c r="AJ56" s="370" t="s">
        <v>149</v>
      </c>
      <c r="AK56" s="370"/>
      <c r="AL56" s="370"/>
      <c r="AM56" s="370"/>
      <c r="AN56" s="370" t="s">
        <v>150</v>
      </c>
      <c r="AO56" s="370"/>
      <c r="AP56" s="370"/>
      <c r="AQ56" s="370"/>
      <c r="AR56" s="24"/>
      <c r="AS56" s="27">
        <v>400000</v>
      </c>
      <c r="AT56" s="27">
        <v>720800</v>
      </c>
      <c r="AU56" s="27"/>
      <c r="AV56" s="32">
        <f>AT56+AU56</f>
        <v>720800</v>
      </c>
      <c r="AW56" s="32"/>
      <c r="AX56" s="28">
        <v>624108.93</v>
      </c>
      <c r="AY56" s="29">
        <f>AX56-AV56</f>
        <v>-96691.06999999995</v>
      </c>
      <c r="AZ56" s="25"/>
      <c r="BA56" s="30">
        <v>400000</v>
      </c>
    </row>
    <row r="57" spans="1:53" ht="12.75" hidden="1">
      <c r="A57" s="395"/>
      <c r="B57" s="377" t="s">
        <v>104</v>
      </c>
      <c r="C57" s="377"/>
      <c r="D57" s="377"/>
      <c r="E57" s="377"/>
      <c r="F57" s="380" t="s">
        <v>151</v>
      </c>
      <c r="G57" s="380"/>
      <c r="H57" s="380"/>
      <c r="I57" s="380"/>
      <c r="J57" s="374" t="s">
        <v>152</v>
      </c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0"/>
      <c r="AG57" s="370"/>
      <c r="AH57" s="370"/>
      <c r="AI57" s="370"/>
      <c r="AJ57" s="370"/>
      <c r="AK57" s="370"/>
      <c r="AL57" s="370"/>
      <c r="AM57" s="370"/>
      <c r="AN57" s="370" t="s">
        <v>153</v>
      </c>
      <c r="AO57" s="370"/>
      <c r="AP57" s="370"/>
      <c r="AQ57" s="370"/>
      <c r="AR57" s="24"/>
      <c r="AS57" s="27"/>
      <c r="AT57" s="27"/>
      <c r="AU57" s="27">
        <f>AV57-AT57</f>
        <v>97000</v>
      </c>
      <c r="AV57" s="27">
        <f>0+97000</f>
        <v>97000</v>
      </c>
      <c r="AW57" s="27"/>
      <c r="AX57" s="28">
        <v>96921</v>
      </c>
      <c r="AY57" s="29">
        <f>AX57-AV57</f>
        <v>-79</v>
      </c>
      <c r="AZ57" s="25"/>
      <c r="BA57" s="30"/>
    </row>
    <row r="58" spans="1:53" s="2" customFormat="1" ht="12.75">
      <c r="A58" s="395"/>
      <c r="B58" s="382" t="s">
        <v>104</v>
      </c>
      <c r="C58" s="383"/>
      <c r="D58" s="383"/>
      <c r="E58" s="384"/>
      <c r="F58" s="396" t="s">
        <v>154</v>
      </c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97"/>
      <c r="AF58" s="389" t="s">
        <v>155</v>
      </c>
      <c r="AG58" s="390"/>
      <c r="AH58" s="390"/>
      <c r="AI58" s="391"/>
      <c r="AJ58" s="390" t="s">
        <v>156</v>
      </c>
      <c r="AK58" s="390"/>
      <c r="AL58" s="390"/>
      <c r="AM58" s="390"/>
      <c r="AN58" s="389" t="s">
        <v>157</v>
      </c>
      <c r="AO58" s="390"/>
      <c r="AP58" s="390"/>
      <c r="AQ58" s="391"/>
      <c r="AR58" s="43"/>
      <c r="AS58" s="64">
        <f>SUM(AS55:AS57)</f>
        <v>600000</v>
      </c>
      <c r="AT58" s="57">
        <f>SUM(AT55:AT57)</f>
        <v>920800</v>
      </c>
      <c r="AU58" s="57">
        <f>SUM(AU55:AU57)-312000*0-106000</f>
        <v>0</v>
      </c>
      <c r="AV58" s="57">
        <f>SUM(AV55:AV57)</f>
        <v>1026800</v>
      </c>
      <c r="AW58" s="33">
        <f>AV58-AT58</f>
        <v>106000</v>
      </c>
      <c r="AX58" s="34">
        <f>SUM(AX55:AX57)</f>
        <v>1135866.08</v>
      </c>
      <c r="AY58" s="35">
        <f>SUM(AY55:AY57)</f>
        <v>109066.08000000007</v>
      </c>
      <c r="AZ58" s="44"/>
      <c r="BA58" s="36">
        <f>SUM(BA55:BA57)</f>
        <v>600000</v>
      </c>
    </row>
    <row r="59" spans="1:53" ht="12.75" hidden="1">
      <c r="A59" s="395"/>
      <c r="B59" s="376" t="s">
        <v>158</v>
      </c>
      <c r="C59" s="377"/>
      <c r="D59" s="377"/>
      <c r="E59" s="378"/>
      <c r="F59" s="379" t="s">
        <v>159</v>
      </c>
      <c r="G59" s="380"/>
      <c r="H59" s="380"/>
      <c r="I59" s="380"/>
      <c r="J59" s="374" t="s">
        <v>160</v>
      </c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87"/>
      <c r="AF59" s="369"/>
      <c r="AG59" s="370"/>
      <c r="AH59" s="370"/>
      <c r="AI59" s="371"/>
      <c r="AJ59" s="370"/>
      <c r="AK59" s="370"/>
      <c r="AL59" s="370"/>
      <c r="AM59" s="370"/>
      <c r="AN59" s="369" t="s">
        <v>161</v>
      </c>
      <c r="AO59" s="370"/>
      <c r="AP59" s="370"/>
      <c r="AQ59" s="371"/>
      <c r="AR59" s="24"/>
      <c r="AS59" s="65"/>
      <c r="AT59" s="55"/>
      <c r="AU59" s="55">
        <v>11000</v>
      </c>
      <c r="AV59" s="56">
        <f>AT59+AU59</f>
        <v>11000</v>
      </c>
      <c r="AW59" s="27"/>
      <c r="AX59" s="28">
        <v>1033.96</v>
      </c>
      <c r="AY59" s="29">
        <f aca="true" t="shared" si="2" ref="AY59:AY64">AX59-AV59</f>
        <v>-9966.04</v>
      </c>
      <c r="AZ59" s="25"/>
      <c r="BA59" s="30"/>
    </row>
    <row r="60" spans="1:53" ht="12.75" hidden="1">
      <c r="A60" s="395"/>
      <c r="B60" s="376" t="s">
        <v>158</v>
      </c>
      <c r="C60" s="377"/>
      <c r="D60" s="377"/>
      <c r="E60" s="378"/>
      <c r="F60" s="379" t="s">
        <v>162</v>
      </c>
      <c r="G60" s="380"/>
      <c r="H60" s="380"/>
      <c r="I60" s="380"/>
      <c r="J60" s="374" t="s">
        <v>163</v>
      </c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87"/>
      <c r="AF60" s="369" t="s">
        <v>164</v>
      </c>
      <c r="AG60" s="370"/>
      <c r="AH60" s="370"/>
      <c r="AI60" s="371"/>
      <c r="AJ60" s="370" t="s">
        <v>164</v>
      </c>
      <c r="AK60" s="370"/>
      <c r="AL60" s="370"/>
      <c r="AM60" s="370"/>
      <c r="AN60" s="369" t="s">
        <v>165</v>
      </c>
      <c r="AO60" s="370"/>
      <c r="AP60" s="370"/>
      <c r="AQ60" s="371"/>
      <c r="AR60" s="24"/>
      <c r="AS60" s="65">
        <v>136000</v>
      </c>
      <c r="AT60" s="55">
        <v>136000</v>
      </c>
      <c r="AU60" s="55"/>
      <c r="AV60" s="56">
        <f>AT60+AU60</f>
        <v>136000</v>
      </c>
      <c r="AW60" s="32"/>
      <c r="AX60" s="28">
        <v>136488</v>
      </c>
      <c r="AY60" s="29">
        <f t="shared" si="2"/>
        <v>488</v>
      </c>
      <c r="AZ60" s="25"/>
      <c r="BA60" s="30">
        <v>136000</v>
      </c>
    </row>
    <row r="61" spans="1:53" ht="12.75" hidden="1">
      <c r="A61" s="395"/>
      <c r="B61" s="376" t="s">
        <v>158</v>
      </c>
      <c r="C61" s="377"/>
      <c r="D61" s="377"/>
      <c r="E61" s="378"/>
      <c r="F61" s="379" t="s">
        <v>142</v>
      </c>
      <c r="G61" s="380"/>
      <c r="H61" s="380"/>
      <c r="I61" s="380"/>
      <c r="J61" s="374" t="s">
        <v>143</v>
      </c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87"/>
      <c r="AF61" s="369" t="s">
        <v>166</v>
      </c>
      <c r="AG61" s="370"/>
      <c r="AH61" s="370"/>
      <c r="AI61" s="371"/>
      <c r="AJ61" s="370" t="s">
        <v>167</v>
      </c>
      <c r="AK61" s="370"/>
      <c r="AL61" s="370"/>
      <c r="AM61" s="370"/>
      <c r="AN61" s="369" t="s">
        <v>168</v>
      </c>
      <c r="AO61" s="370"/>
      <c r="AP61" s="370"/>
      <c r="AQ61" s="371"/>
      <c r="AR61" s="24"/>
      <c r="AS61" s="65">
        <v>164000</v>
      </c>
      <c r="AT61" s="55">
        <v>188000</v>
      </c>
      <c r="AU61" s="55"/>
      <c r="AV61" s="56">
        <f>AT61+AU61</f>
        <v>188000</v>
      </c>
      <c r="AW61" s="32"/>
      <c r="AX61" s="28">
        <v>185046.5</v>
      </c>
      <c r="AY61" s="29">
        <f t="shared" si="2"/>
        <v>-2953.5</v>
      </c>
      <c r="AZ61" s="25"/>
      <c r="BA61" s="30">
        <v>164000</v>
      </c>
    </row>
    <row r="62" spans="1:53" ht="12.75" hidden="1">
      <c r="A62" s="395"/>
      <c r="B62" s="376" t="s">
        <v>158</v>
      </c>
      <c r="C62" s="377"/>
      <c r="D62" s="377"/>
      <c r="E62" s="378"/>
      <c r="F62" s="379" t="s">
        <v>146</v>
      </c>
      <c r="G62" s="380"/>
      <c r="H62" s="380"/>
      <c r="I62" s="380"/>
      <c r="J62" s="374" t="s">
        <v>147</v>
      </c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87"/>
      <c r="AF62" s="369"/>
      <c r="AG62" s="370"/>
      <c r="AH62" s="370"/>
      <c r="AI62" s="371"/>
      <c r="AJ62" s="370" t="s">
        <v>169</v>
      </c>
      <c r="AK62" s="370"/>
      <c r="AL62" s="370"/>
      <c r="AM62" s="370"/>
      <c r="AN62" s="369" t="s">
        <v>170</v>
      </c>
      <c r="AO62" s="370"/>
      <c r="AP62" s="370"/>
      <c r="AQ62" s="371"/>
      <c r="AR62" s="24"/>
      <c r="AS62" s="65"/>
      <c r="AT62" s="55">
        <f>123600</f>
        <v>123600</v>
      </c>
      <c r="AU62" s="55">
        <f>AV62-AT62</f>
        <v>24000</v>
      </c>
      <c r="AV62" s="55">
        <f>123600+24000</f>
        <v>147600</v>
      </c>
      <c r="AW62" s="27"/>
      <c r="AX62" s="28">
        <v>147988.82</v>
      </c>
      <c r="AY62" s="29">
        <f t="shared" si="2"/>
        <v>388.820000000007</v>
      </c>
      <c r="AZ62" s="25"/>
      <c r="BA62" s="30"/>
    </row>
    <row r="63" spans="1:53" ht="12.75" hidden="1">
      <c r="A63" s="395"/>
      <c r="B63" s="376" t="s">
        <v>158</v>
      </c>
      <c r="C63" s="377"/>
      <c r="D63" s="377"/>
      <c r="E63" s="378"/>
      <c r="F63" s="379" t="s">
        <v>151</v>
      </c>
      <c r="G63" s="380"/>
      <c r="H63" s="380"/>
      <c r="I63" s="380"/>
      <c r="J63" s="374" t="s">
        <v>152</v>
      </c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87"/>
      <c r="AF63" s="369" t="s">
        <v>171</v>
      </c>
      <c r="AG63" s="370"/>
      <c r="AH63" s="370"/>
      <c r="AI63" s="371"/>
      <c r="AJ63" s="370" t="s">
        <v>172</v>
      </c>
      <c r="AK63" s="370"/>
      <c r="AL63" s="370"/>
      <c r="AM63" s="370"/>
      <c r="AN63" s="369" t="s">
        <v>173</v>
      </c>
      <c r="AO63" s="370"/>
      <c r="AP63" s="370"/>
      <c r="AQ63" s="371"/>
      <c r="AR63" s="24"/>
      <c r="AS63" s="65">
        <v>29000</v>
      </c>
      <c r="AT63" s="55">
        <f>650000</f>
        <v>650000</v>
      </c>
      <c r="AU63" s="55">
        <f>AV63-AT63</f>
        <v>-450000</v>
      </c>
      <c r="AV63" s="55">
        <f>650000-450000</f>
        <v>200000</v>
      </c>
      <c r="AW63" s="27"/>
      <c r="AX63" s="28">
        <v>123311.95</v>
      </c>
      <c r="AY63" s="29">
        <f t="shared" si="2"/>
        <v>-76688.05</v>
      </c>
      <c r="AZ63" s="25"/>
      <c r="BA63" s="30">
        <v>29000</v>
      </c>
    </row>
    <row r="64" spans="1:53" ht="12.75" hidden="1">
      <c r="A64" s="395"/>
      <c r="B64" s="376" t="s">
        <v>158</v>
      </c>
      <c r="C64" s="377"/>
      <c r="D64" s="377"/>
      <c r="E64" s="378"/>
      <c r="F64" s="379" t="s">
        <v>174</v>
      </c>
      <c r="G64" s="380"/>
      <c r="H64" s="380"/>
      <c r="I64" s="380"/>
      <c r="J64" s="374" t="s">
        <v>175</v>
      </c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87"/>
      <c r="AF64" s="369" t="s">
        <v>176</v>
      </c>
      <c r="AG64" s="370"/>
      <c r="AH64" s="370"/>
      <c r="AI64" s="371"/>
      <c r="AJ64" s="370" t="s">
        <v>177</v>
      </c>
      <c r="AK64" s="370"/>
      <c r="AL64" s="370"/>
      <c r="AM64" s="370"/>
      <c r="AN64" s="369" t="s">
        <v>178</v>
      </c>
      <c r="AO64" s="370"/>
      <c r="AP64" s="370"/>
      <c r="AQ64" s="371"/>
      <c r="AR64" s="24"/>
      <c r="AS64" s="65">
        <v>621000</v>
      </c>
      <c r="AT64" s="55">
        <v>1090000</v>
      </c>
      <c r="AU64" s="55">
        <f>AV64-AT64</f>
        <v>0</v>
      </c>
      <c r="AV64" s="55">
        <v>1090000</v>
      </c>
      <c r="AW64" s="27"/>
      <c r="AX64" s="28">
        <f>369797.42-(25410+18150*2+133100+174987.42)*0</f>
        <v>369797.42</v>
      </c>
      <c r="AY64" s="29">
        <f t="shared" si="2"/>
        <v>-720202.5800000001</v>
      </c>
      <c r="AZ64" s="25"/>
      <c r="BA64" s="30">
        <v>621000</v>
      </c>
    </row>
    <row r="65" spans="1:53" s="2" customFormat="1" ht="12.75">
      <c r="A65" s="395"/>
      <c r="B65" s="382" t="s">
        <v>158</v>
      </c>
      <c r="C65" s="383"/>
      <c r="D65" s="383"/>
      <c r="E65" s="384"/>
      <c r="F65" s="396" t="s">
        <v>179</v>
      </c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97"/>
      <c r="AF65" s="389" t="s">
        <v>180</v>
      </c>
      <c r="AG65" s="390"/>
      <c r="AH65" s="390"/>
      <c r="AI65" s="391"/>
      <c r="AJ65" s="390" t="s">
        <v>181</v>
      </c>
      <c r="AK65" s="390"/>
      <c r="AL65" s="390"/>
      <c r="AM65" s="390"/>
      <c r="AN65" s="389" t="s">
        <v>182</v>
      </c>
      <c r="AO65" s="390"/>
      <c r="AP65" s="390"/>
      <c r="AQ65" s="391"/>
      <c r="AR65" s="43"/>
      <c r="AS65" s="64">
        <f>SUM(AS59:AS64)</f>
        <v>950000</v>
      </c>
      <c r="AT65" s="57">
        <f>SUM(AT59:AT64)</f>
        <v>2187600</v>
      </c>
      <c r="AU65" s="57">
        <f>SUM(AU59:AU64)+415000</f>
        <v>0</v>
      </c>
      <c r="AV65" s="57">
        <f>SUM(AV59:AV64)</f>
        <v>1772600</v>
      </c>
      <c r="AW65" s="33">
        <f>AV65-AT65</f>
        <v>-415000</v>
      </c>
      <c r="AX65" s="34">
        <f>SUM(AX59:AX64)</f>
        <v>963666.6499999999</v>
      </c>
      <c r="AY65" s="35">
        <f>SUM(AY59:AY64)</f>
        <v>-808933.3500000001</v>
      </c>
      <c r="AZ65" s="44"/>
      <c r="BA65" s="36">
        <f>SUM(BA59:BA64)</f>
        <v>950000</v>
      </c>
    </row>
    <row r="66" spans="1:53" ht="12.75" hidden="1">
      <c r="A66" s="398">
        <v>2</v>
      </c>
      <c r="B66" s="376" t="s">
        <v>107</v>
      </c>
      <c r="C66" s="377"/>
      <c r="D66" s="377"/>
      <c r="E66" s="378"/>
      <c r="F66" s="379" t="s">
        <v>142</v>
      </c>
      <c r="G66" s="380"/>
      <c r="H66" s="380"/>
      <c r="I66" s="380"/>
      <c r="J66" s="374" t="s">
        <v>143</v>
      </c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87"/>
      <c r="AF66" s="369" t="s">
        <v>91</v>
      </c>
      <c r="AG66" s="370"/>
      <c r="AH66" s="370"/>
      <c r="AI66" s="371"/>
      <c r="AJ66" s="370"/>
      <c r="AK66" s="370"/>
      <c r="AL66" s="370"/>
      <c r="AM66" s="370"/>
      <c r="AN66" s="369" t="s">
        <v>183</v>
      </c>
      <c r="AO66" s="370"/>
      <c r="AP66" s="370"/>
      <c r="AQ66" s="371"/>
      <c r="AR66" s="24"/>
      <c r="AS66" s="65">
        <v>50000</v>
      </c>
      <c r="AT66" s="55">
        <f>0</f>
        <v>0</v>
      </c>
      <c r="AU66" s="55">
        <f>AV66-AT66</f>
        <v>29000</v>
      </c>
      <c r="AV66" s="55">
        <f>0+29000</f>
        <v>29000</v>
      </c>
      <c r="AW66" s="27"/>
      <c r="AX66" s="28">
        <v>28787.8</v>
      </c>
      <c r="AY66" s="29"/>
      <c r="AZ66" s="25"/>
      <c r="BA66" s="30">
        <v>50000</v>
      </c>
    </row>
    <row r="67" spans="1:53" ht="12.75" hidden="1">
      <c r="A67" s="399"/>
      <c r="B67" s="376" t="s">
        <v>107</v>
      </c>
      <c r="C67" s="377"/>
      <c r="D67" s="377"/>
      <c r="E67" s="378"/>
      <c r="F67" s="379" t="s">
        <v>146</v>
      </c>
      <c r="G67" s="380"/>
      <c r="H67" s="380"/>
      <c r="I67" s="380"/>
      <c r="J67" s="374" t="s">
        <v>147</v>
      </c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87"/>
      <c r="AF67" s="369" t="s">
        <v>125</v>
      </c>
      <c r="AG67" s="370"/>
      <c r="AH67" s="370"/>
      <c r="AI67" s="371"/>
      <c r="AJ67" s="370" t="s">
        <v>184</v>
      </c>
      <c r="AK67" s="370"/>
      <c r="AL67" s="370"/>
      <c r="AM67" s="370"/>
      <c r="AN67" s="369"/>
      <c r="AO67" s="370"/>
      <c r="AP67" s="370"/>
      <c r="AQ67" s="371"/>
      <c r="AR67" s="24"/>
      <c r="AS67" s="65">
        <v>100000</v>
      </c>
      <c r="AT67" s="55">
        <v>53600</v>
      </c>
      <c r="AU67" s="55">
        <f>AV67-AT67</f>
        <v>-53600</v>
      </c>
      <c r="AV67" s="55">
        <f>53600-53600</f>
        <v>0</v>
      </c>
      <c r="AW67" s="27"/>
      <c r="AX67" s="28"/>
      <c r="AY67" s="29">
        <f>AX67-AV67</f>
        <v>0</v>
      </c>
      <c r="AZ67" s="25"/>
      <c r="BA67" s="30">
        <v>100000</v>
      </c>
    </row>
    <row r="68" spans="1:53" s="2" customFormat="1" ht="12.75">
      <c r="A68" s="399"/>
      <c r="B68" s="382" t="s">
        <v>107</v>
      </c>
      <c r="C68" s="383"/>
      <c r="D68" s="383"/>
      <c r="E68" s="384"/>
      <c r="F68" s="396" t="s">
        <v>185</v>
      </c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97"/>
      <c r="AF68" s="389" t="s">
        <v>87</v>
      </c>
      <c r="AG68" s="390"/>
      <c r="AH68" s="390"/>
      <c r="AI68" s="391"/>
      <c r="AJ68" s="390" t="s">
        <v>184</v>
      </c>
      <c r="AK68" s="390"/>
      <c r="AL68" s="390"/>
      <c r="AM68" s="390"/>
      <c r="AN68" s="389" t="s">
        <v>183</v>
      </c>
      <c r="AO68" s="390"/>
      <c r="AP68" s="390"/>
      <c r="AQ68" s="391"/>
      <c r="AR68" s="43"/>
      <c r="AS68" s="64">
        <f>SUM(AS66:AS67)</f>
        <v>150000</v>
      </c>
      <c r="AT68" s="57">
        <f>SUM(AT66:AT67)</f>
        <v>53600</v>
      </c>
      <c r="AU68" s="57">
        <f>SUM(AU66:AU67)+24600</f>
        <v>0</v>
      </c>
      <c r="AV68" s="57">
        <f>SUM(AV66:AV67)</f>
        <v>29000</v>
      </c>
      <c r="AW68" s="33">
        <f>AV68-AT68</f>
        <v>-24600</v>
      </c>
      <c r="AX68" s="34">
        <f>SUM(AX66:AX67)</f>
        <v>28787.8</v>
      </c>
      <c r="AY68" s="35">
        <f>SUM(AY66:AY67)</f>
        <v>0</v>
      </c>
      <c r="AZ68" s="44"/>
      <c r="BA68" s="36">
        <f>SUM(BA66:BA67)</f>
        <v>150000</v>
      </c>
    </row>
    <row r="69" spans="1:53" ht="12.75" hidden="1">
      <c r="A69" s="399"/>
      <c r="B69" s="376" t="s">
        <v>186</v>
      </c>
      <c r="C69" s="377"/>
      <c r="D69" s="377"/>
      <c r="E69" s="378"/>
      <c r="F69" s="379" t="s">
        <v>142</v>
      </c>
      <c r="G69" s="380"/>
      <c r="H69" s="380"/>
      <c r="I69" s="380"/>
      <c r="J69" s="374" t="s">
        <v>143</v>
      </c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87"/>
      <c r="AF69" s="369"/>
      <c r="AG69" s="370"/>
      <c r="AH69" s="370"/>
      <c r="AI69" s="371"/>
      <c r="AJ69" s="370" t="s">
        <v>187</v>
      </c>
      <c r="AK69" s="370"/>
      <c r="AL69" s="370"/>
      <c r="AM69" s="370"/>
      <c r="AN69" s="369" t="s">
        <v>188</v>
      </c>
      <c r="AO69" s="370"/>
      <c r="AP69" s="370"/>
      <c r="AQ69" s="371"/>
      <c r="AR69" s="24"/>
      <c r="AS69" s="65"/>
      <c r="AT69" s="55">
        <v>140000</v>
      </c>
      <c r="AU69" s="55">
        <f>AV69-AT69</f>
        <v>0</v>
      </c>
      <c r="AV69" s="55">
        <f>99/99*140000-(58000+24240-240)*0</f>
        <v>140000</v>
      </c>
      <c r="AW69" s="27"/>
      <c r="AX69" s="28">
        <v>82240</v>
      </c>
      <c r="AY69" s="29">
        <f>AX69-AV69</f>
        <v>-57760</v>
      </c>
      <c r="AZ69" s="25"/>
      <c r="BA69" s="30"/>
    </row>
    <row r="70" spans="1:53" ht="12.75" hidden="1">
      <c r="A70" s="399"/>
      <c r="B70" s="376" t="s">
        <v>186</v>
      </c>
      <c r="C70" s="377"/>
      <c r="D70" s="377"/>
      <c r="E70" s="378"/>
      <c r="F70" s="379" t="s">
        <v>151</v>
      </c>
      <c r="G70" s="380"/>
      <c r="H70" s="380"/>
      <c r="I70" s="380"/>
      <c r="J70" s="374" t="s">
        <v>152</v>
      </c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87"/>
      <c r="AF70" s="369"/>
      <c r="AG70" s="370"/>
      <c r="AH70" s="370"/>
      <c r="AI70" s="371"/>
      <c r="AJ70" s="370"/>
      <c r="AK70" s="370"/>
      <c r="AL70" s="370"/>
      <c r="AM70" s="370"/>
      <c r="AN70" s="369" t="s">
        <v>189</v>
      </c>
      <c r="AO70" s="370"/>
      <c r="AP70" s="370"/>
      <c r="AQ70" s="371"/>
      <c r="AR70" s="24"/>
      <c r="AS70" s="65"/>
      <c r="AT70" s="55"/>
      <c r="AU70" s="55">
        <f>AV70-AT70</f>
        <v>73000</v>
      </c>
      <c r="AV70" s="55">
        <f>0+73000</f>
        <v>73000</v>
      </c>
      <c r="AW70" s="27"/>
      <c r="AX70" s="28">
        <v>73180.8</v>
      </c>
      <c r="AY70" s="29">
        <f>AX70-AV70</f>
        <v>180.8000000000029</v>
      </c>
      <c r="AZ70" s="25"/>
      <c r="BA70" s="30"/>
    </row>
    <row r="71" spans="1:53" s="2" customFormat="1" ht="12.75">
      <c r="A71" s="399"/>
      <c r="B71" s="382" t="s">
        <v>186</v>
      </c>
      <c r="C71" s="383"/>
      <c r="D71" s="383"/>
      <c r="E71" s="384"/>
      <c r="F71" s="396" t="s">
        <v>190</v>
      </c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97"/>
      <c r="AF71" s="389"/>
      <c r="AG71" s="390"/>
      <c r="AH71" s="390"/>
      <c r="AI71" s="391"/>
      <c r="AJ71" s="390" t="s">
        <v>187</v>
      </c>
      <c r="AK71" s="390"/>
      <c r="AL71" s="390"/>
      <c r="AM71" s="390"/>
      <c r="AN71" s="389" t="s">
        <v>191</v>
      </c>
      <c r="AO71" s="390"/>
      <c r="AP71" s="390"/>
      <c r="AQ71" s="391"/>
      <c r="AR71" s="43"/>
      <c r="AS71" s="64">
        <f>SUM(AS69:AS70)</f>
        <v>0</v>
      </c>
      <c r="AT71" s="57">
        <f>SUM(AT69:AT70)</f>
        <v>140000</v>
      </c>
      <c r="AU71" s="57">
        <f>SUM(AU69:AU70)-73000</f>
        <v>0</v>
      </c>
      <c r="AV71" s="57">
        <f>SUM(AV69:AV70)</f>
        <v>213000</v>
      </c>
      <c r="AW71" s="33">
        <f>AV71-AT71</f>
        <v>73000</v>
      </c>
      <c r="AX71" s="34">
        <f>SUM(AX69:AX70)</f>
        <v>155420.8</v>
      </c>
      <c r="AY71" s="35">
        <f>SUM(AY69:AY70)</f>
        <v>-57579.2</v>
      </c>
      <c r="AZ71" s="44"/>
      <c r="BA71" s="36">
        <f>SUM(BA69:BA70)</f>
        <v>0</v>
      </c>
    </row>
    <row r="72" spans="1:53" ht="12.75" hidden="1">
      <c r="A72" s="400">
        <v>4</v>
      </c>
      <c r="B72" s="376" t="s">
        <v>192</v>
      </c>
      <c r="C72" s="377"/>
      <c r="D72" s="377"/>
      <c r="E72" s="378"/>
      <c r="F72" s="379" t="s">
        <v>146</v>
      </c>
      <c r="G72" s="380"/>
      <c r="H72" s="380"/>
      <c r="I72" s="380"/>
      <c r="J72" s="374" t="s">
        <v>147</v>
      </c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87"/>
      <c r="AF72" s="369"/>
      <c r="AG72" s="370"/>
      <c r="AH72" s="370"/>
      <c r="AI72" s="371"/>
      <c r="AJ72" s="370" t="s">
        <v>193</v>
      </c>
      <c r="AK72" s="370"/>
      <c r="AL72" s="370"/>
      <c r="AM72" s="370"/>
      <c r="AN72" s="369" t="s">
        <v>194</v>
      </c>
      <c r="AO72" s="370"/>
      <c r="AP72" s="370"/>
      <c r="AQ72" s="371"/>
      <c r="AR72" s="24"/>
      <c r="AS72" s="65"/>
      <c r="AT72" s="55">
        <v>16000</v>
      </c>
      <c r="AU72" s="55">
        <f>AV72-AT72</f>
        <v>33000</v>
      </c>
      <c r="AV72" s="55">
        <f>16000+33000</f>
        <v>49000</v>
      </c>
      <c r="AW72" s="27"/>
      <c r="AX72" s="28">
        <v>48578</v>
      </c>
      <c r="AY72" s="29">
        <f>AX72-AV72</f>
        <v>-422</v>
      </c>
      <c r="AZ72" s="25"/>
      <c r="BA72" s="30"/>
    </row>
    <row r="73" spans="1:53" ht="12.75" hidden="1">
      <c r="A73" s="395"/>
      <c r="B73" s="376" t="s">
        <v>192</v>
      </c>
      <c r="C73" s="377"/>
      <c r="D73" s="377"/>
      <c r="E73" s="378"/>
      <c r="F73" s="379" t="s">
        <v>195</v>
      </c>
      <c r="G73" s="380"/>
      <c r="H73" s="380"/>
      <c r="I73" s="380"/>
      <c r="J73" s="374" t="s">
        <v>196</v>
      </c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87"/>
      <c r="AF73" s="369" t="s">
        <v>197</v>
      </c>
      <c r="AG73" s="370"/>
      <c r="AH73" s="370"/>
      <c r="AI73" s="371"/>
      <c r="AJ73" s="370" t="s">
        <v>197</v>
      </c>
      <c r="AK73" s="370"/>
      <c r="AL73" s="370"/>
      <c r="AM73" s="370"/>
      <c r="AN73" s="369" t="s">
        <v>198</v>
      </c>
      <c r="AO73" s="370"/>
      <c r="AP73" s="370"/>
      <c r="AQ73" s="371"/>
      <c r="AR73" s="24"/>
      <c r="AS73" s="65">
        <v>1880000</v>
      </c>
      <c r="AT73" s="55">
        <v>1880000</v>
      </c>
      <c r="AU73" s="55"/>
      <c r="AV73" s="56">
        <f>AT73+AU73</f>
        <v>1880000</v>
      </c>
      <c r="AW73" s="32"/>
      <c r="AX73" s="28">
        <v>1410000</v>
      </c>
      <c r="AY73" s="29">
        <f>AX73-AV73</f>
        <v>-470000</v>
      </c>
      <c r="AZ73" s="25"/>
      <c r="BA73" s="30">
        <f>1880000*1.05</f>
        <v>1974000</v>
      </c>
    </row>
    <row r="74" spans="1:53" ht="12.75" hidden="1">
      <c r="A74" s="395"/>
      <c r="B74" s="376" t="s">
        <v>192</v>
      </c>
      <c r="C74" s="377"/>
      <c r="D74" s="377"/>
      <c r="E74" s="378"/>
      <c r="F74" s="379" t="s">
        <v>151</v>
      </c>
      <c r="G74" s="380"/>
      <c r="H74" s="380"/>
      <c r="I74" s="380"/>
      <c r="J74" s="374" t="s">
        <v>152</v>
      </c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87"/>
      <c r="AF74" s="369"/>
      <c r="AG74" s="370"/>
      <c r="AH74" s="370"/>
      <c r="AI74" s="371"/>
      <c r="AJ74" s="370" t="s">
        <v>199</v>
      </c>
      <c r="AK74" s="370"/>
      <c r="AL74" s="370"/>
      <c r="AM74" s="370"/>
      <c r="AN74" s="369" t="s">
        <v>200</v>
      </c>
      <c r="AO74" s="370"/>
      <c r="AP74" s="370"/>
      <c r="AQ74" s="371"/>
      <c r="AR74" s="24"/>
      <c r="AS74" s="65"/>
      <c r="AT74" s="55">
        <v>1686000</v>
      </c>
      <c r="AU74" s="55"/>
      <c r="AV74" s="56">
        <f>AT74+AU74</f>
        <v>1686000</v>
      </c>
      <c r="AW74" s="32"/>
      <c r="AX74" s="28">
        <v>1685593.3</v>
      </c>
      <c r="AY74" s="29">
        <f>AX74-AV74</f>
        <v>-406.69999999995343</v>
      </c>
      <c r="AZ74" s="25"/>
      <c r="BA74" s="30"/>
    </row>
    <row r="75" spans="1:53" s="2" customFormat="1" ht="12.75">
      <c r="A75" s="395"/>
      <c r="B75" s="382" t="s">
        <v>192</v>
      </c>
      <c r="C75" s="383"/>
      <c r="D75" s="383"/>
      <c r="E75" s="384"/>
      <c r="F75" s="396" t="s">
        <v>201</v>
      </c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97"/>
      <c r="AF75" s="389" t="s">
        <v>197</v>
      </c>
      <c r="AG75" s="390"/>
      <c r="AH75" s="390"/>
      <c r="AI75" s="391"/>
      <c r="AJ75" s="390" t="s">
        <v>202</v>
      </c>
      <c r="AK75" s="390"/>
      <c r="AL75" s="390"/>
      <c r="AM75" s="390"/>
      <c r="AN75" s="389" t="s">
        <v>203</v>
      </c>
      <c r="AO75" s="390"/>
      <c r="AP75" s="390"/>
      <c r="AQ75" s="391"/>
      <c r="AR75" s="43"/>
      <c r="AS75" s="64">
        <f>SUM(AS72:AS74)</f>
        <v>1880000</v>
      </c>
      <c r="AT75" s="57">
        <f>SUM(AT72:AT74)</f>
        <v>3582000</v>
      </c>
      <c r="AU75" s="57">
        <f>SUM(AU72:AU74)-33000</f>
        <v>0</v>
      </c>
      <c r="AV75" s="57">
        <f>SUM(AV72:AV74)</f>
        <v>3615000</v>
      </c>
      <c r="AW75" s="33">
        <f>AV75-AT75</f>
        <v>33000</v>
      </c>
      <c r="AX75" s="34">
        <f>SUM(AX72:AX74)</f>
        <v>3144171.3</v>
      </c>
      <c r="AY75" s="35">
        <f>SUM(AY72:AY74)</f>
        <v>-470828.69999999995</v>
      </c>
      <c r="AZ75" s="44"/>
      <c r="BA75" s="36">
        <f>SUM(BA72:BA74)</f>
        <v>1974000</v>
      </c>
    </row>
    <row r="76" spans="1:53" ht="12.75" hidden="1">
      <c r="A76" s="395"/>
      <c r="B76" s="376" t="s">
        <v>204</v>
      </c>
      <c r="C76" s="377"/>
      <c r="D76" s="377"/>
      <c r="E76" s="378"/>
      <c r="F76" s="379" t="s">
        <v>205</v>
      </c>
      <c r="G76" s="380"/>
      <c r="H76" s="380"/>
      <c r="I76" s="380"/>
      <c r="J76" s="374" t="s">
        <v>206</v>
      </c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87"/>
      <c r="AF76" s="369"/>
      <c r="AG76" s="370"/>
      <c r="AH76" s="370"/>
      <c r="AI76" s="371"/>
      <c r="AJ76" s="370"/>
      <c r="AK76" s="370"/>
      <c r="AL76" s="370"/>
      <c r="AM76" s="370"/>
      <c r="AN76" s="369" t="s">
        <v>207</v>
      </c>
      <c r="AO76" s="370"/>
      <c r="AP76" s="370"/>
      <c r="AQ76" s="371"/>
      <c r="AR76" s="24"/>
      <c r="AS76" s="65"/>
      <c r="AT76" s="55"/>
      <c r="AU76" s="55"/>
      <c r="AV76" s="56">
        <f>AT76+AU76</f>
        <v>0</v>
      </c>
      <c r="AW76" s="32"/>
      <c r="AX76" s="28">
        <v>184944</v>
      </c>
      <c r="AY76" s="29">
        <f aca="true" t="shared" si="3" ref="AY76:AY82">AX76-AV76</f>
        <v>184944</v>
      </c>
      <c r="AZ76" s="25"/>
      <c r="BA76" s="30"/>
    </row>
    <row r="77" spans="1:53" ht="12.75" hidden="1">
      <c r="A77" s="395"/>
      <c r="B77" s="376" t="s">
        <v>204</v>
      </c>
      <c r="C77" s="377"/>
      <c r="D77" s="377"/>
      <c r="E77" s="378"/>
      <c r="F77" s="379" t="s">
        <v>208</v>
      </c>
      <c r="G77" s="380"/>
      <c r="H77" s="380"/>
      <c r="I77" s="380"/>
      <c r="J77" s="374" t="s">
        <v>209</v>
      </c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87"/>
      <c r="AF77" s="369"/>
      <c r="AG77" s="370"/>
      <c r="AH77" s="370"/>
      <c r="AI77" s="371"/>
      <c r="AJ77" s="370"/>
      <c r="AK77" s="370"/>
      <c r="AL77" s="370"/>
      <c r="AM77" s="370"/>
      <c r="AN77" s="369" t="s">
        <v>210</v>
      </c>
      <c r="AO77" s="370"/>
      <c r="AP77" s="370"/>
      <c r="AQ77" s="371"/>
      <c r="AR77" s="24"/>
      <c r="AS77" s="65"/>
      <c r="AT77" s="55"/>
      <c r="AU77" s="55"/>
      <c r="AV77" s="56">
        <f>AT77+AU77</f>
        <v>0</v>
      </c>
      <c r="AW77" s="32"/>
      <c r="AX77" s="28">
        <v>965870.14</v>
      </c>
      <c r="AY77" s="29">
        <f t="shared" si="3"/>
        <v>965870.14</v>
      </c>
      <c r="AZ77" s="25"/>
      <c r="BA77" s="30"/>
    </row>
    <row r="78" spans="1:53" ht="12.75" hidden="1">
      <c r="A78" s="395"/>
      <c r="B78" s="376" t="s">
        <v>204</v>
      </c>
      <c r="C78" s="377"/>
      <c r="D78" s="377"/>
      <c r="E78" s="378"/>
      <c r="F78" s="379" t="s">
        <v>159</v>
      </c>
      <c r="G78" s="380"/>
      <c r="H78" s="380"/>
      <c r="I78" s="380"/>
      <c r="J78" s="374" t="s">
        <v>160</v>
      </c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87"/>
      <c r="AF78" s="369"/>
      <c r="AG78" s="370"/>
      <c r="AH78" s="370"/>
      <c r="AI78" s="371"/>
      <c r="AJ78" s="370"/>
      <c r="AK78" s="370"/>
      <c r="AL78" s="370"/>
      <c r="AM78" s="370"/>
      <c r="AN78" s="369" t="s">
        <v>211</v>
      </c>
      <c r="AO78" s="370"/>
      <c r="AP78" s="370"/>
      <c r="AQ78" s="371"/>
      <c r="AR78" s="24"/>
      <c r="AS78" s="65"/>
      <c r="AT78" s="55"/>
      <c r="AU78" s="55"/>
      <c r="AV78" s="56">
        <f>AT78+AU78</f>
        <v>0</v>
      </c>
      <c r="AW78" s="32"/>
      <c r="AX78" s="28">
        <v>76534</v>
      </c>
      <c r="AY78" s="29">
        <f t="shared" si="3"/>
        <v>76534</v>
      </c>
      <c r="AZ78" s="25"/>
      <c r="BA78" s="30"/>
    </row>
    <row r="79" spans="1:53" ht="12.75" hidden="1">
      <c r="A79" s="395"/>
      <c r="B79" s="376" t="s">
        <v>204</v>
      </c>
      <c r="C79" s="377"/>
      <c r="D79" s="377"/>
      <c r="E79" s="378"/>
      <c r="F79" s="379" t="s">
        <v>142</v>
      </c>
      <c r="G79" s="380"/>
      <c r="H79" s="380"/>
      <c r="I79" s="380"/>
      <c r="J79" s="374" t="s">
        <v>143</v>
      </c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87"/>
      <c r="AF79" s="369"/>
      <c r="AG79" s="370"/>
      <c r="AH79" s="370"/>
      <c r="AI79" s="371"/>
      <c r="AJ79" s="370" t="s">
        <v>212</v>
      </c>
      <c r="AK79" s="370"/>
      <c r="AL79" s="370"/>
      <c r="AM79" s="370"/>
      <c r="AN79" s="369" t="s">
        <v>213</v>
      </c>
      <c r="AO79" s="370"/>
      <c r="AP79" s="370"/>
      <c r="AQ79" s="371"/>
      <c r="AR79" s="24"/>
      <c r="AS79" s="65"/>
      <c r="AT79" s="55">
        <v>133500</v>
      </c>
      <c r="AU79" s="55">
        <f>AV79-AT79</f>
        <v>0</v>
      </c>
      <c r="AV79" s="55">
        <f>133500+22000*0*98/98</f>
        <v>133500</v>
      </c>
      <c r="AW79" s="27"/>
      <c r="AX79" s="28">
        <v>155572.9</v>
      </c>
      <c r="AY79" s="29">
        <f t="shared" si="3"/>
        <v>22072.899999999994</v>
      </c>
      <c r="AZ79" s="25"/>
      <c r="BA79" s="30"/>
    </row>
    <row r="80" spans="1:53" ht="12.75" hidden="1">
      <c r="A80" s="395"/>
      <c r="B80" s="376" t="s">
        <v>204</v>
      </c>
      <c r="C80" s="377"/>
      <c r="D80" s="377"/>
      <c r="E80" s="378"/>
      <c r="F80" s="379" t="s">
        <v>146</v>
      </c>
      <c r="G80" s="380"/>
      <c r="H80" s="380"/>
      <c r="I80" s="380"/>
      <c r="J80" s="374" t="s">
        <v>147</v>
      </c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87"/>
      <c r="AF80" s="369"/>
      <c r="AG80" s="370"/>
      <c r="AH80" s="370"/>
      <c r="AI80" s="371"/>
      <c r="AJ80" s="370" t="s">
        <v>214</v>
      </c>
      <c r="AK80" s="370"/>
      <c r="AL80" s="370"/>
      <c r="AM80" s="370"/>
      <c r="AN80" s="369" t="s">
        <v>215</v>
      </c>
      <c r="AO80" s="370"/>
      <c r="AP80" s="370"/>
      <c r="AQ80" s="371"/>
      <c r="AR80" s="24"/>
      <c r="AS80" s="65"/>
      <c r="AT80" s="55">
        <v>205000</v>
      </c>
      <c r="AU80" s="55">
        <f>AV80-AT80</f>
        <v>165000</v>
      </c>
      <c r="AV80" s="55">
        <f>205000+167000-2000*99/99</f>
        <v>370000</v>
      </c>
      <c r="AW80" s="27"/>
      <c r="AX80" s="28">
        <v>370032.7</v>
      </c>
      <c r="AY80" s="29">
        <f t="shared" si="3"/>
        <v>32.70000000001164</v>
      </c>
      <c r="AZ80" s="25"/>
      <c r="BA80" s="30"/>
    </row>
    <row r="81" spans="1:53" ht="12.75" hidden="1">
      <c r="A81" s="395"/>
      <c r="B81" s="376" t="s">
        <v>204</v>
      </c>
      <c r="C81" s="377"/>
      <c r="D81" s="377"/>
      <c r="E81" s="378"/>
      <c r="F81" s="379" t="s">
        <v>195</v>
      </c>
      <c r="G81" s="380"/>
      <c r="H81" s="380"/>
      <c r="I81" s="380"/>
      <c r="J81" s="374" t="s">
        <v>196</v>
      </c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87"/>
      <c r="AF81" s="369" t="s">
        <v>216</v>
      </c>
      <c r="AG81" s="370"/>
      <c r="AH81" s="370"/>
      <c r="AI81" s="371"/>
      <c r="AJ81" s="370" t="s">
        <v>217</v>
      </c>
      <c r="AK81" s="370"/>
      <c r="AL81" s="370"/>
      <c r="AM81" s="370"/>
      <c r="AN81" s="369" t="s">
        <v>218</v>
      </c>
      <c r="AO81" s="370"/>
      <c r="AP81" s="370"/>
      <c r="AQ81" s="371"/>
      <c r="AR81" s="24"/>
      <c r="AS81" s="65">
        <v>4452000</v>
      </c>
      <c r="AT81" s="55">
        <v>5345000</v>
      </c>
      <c r="AU81" s="55"/>
      <c r="AV81" s="56">
        <f>AT81+AU81</f>
        <v>5345000</v>
      </c>
      <c r="AW81" s="32"/>
      <c r="AX81" s="28">
        <v>4232000</v>
      </c>
      <c r="AY81" s="29">
        <f t="shared" si="3"/>
        <v>-1113000</v>
      </c>
      <c r="AZ81" s="25"/>
      <c r="BA81" s="30">
        <f>4452000*1.05+400</f>
        <v>4675000</v>
      </c>
    </row>
    <row r="82" spans="1:53" ht="12.75" hidden="1">
      <c r="A82" s="395"/>
      <c r="B82" s="376" t="s">
        <v>204</v>
      </c>
      <c r="C82" s="377"/>
      <c r="D82" s="377"/>
      <c r="E82" s="378"/>
      <c r="F82" s="379" t="s">
        <v>151</v>
      </c>
      <c r="G82" s="380"/>
      <c r="H82" s="380"/>
      <c r="I82" s="380"/>
      <c r="J82" s="374" t="s">
        <v>152</v>
      </c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87"/>
      <c r="AF82" s="369"/>
      <c r="AG82" s="370"/>
      <c r="AH82" s="370"/>
      <c r="AI82" s="371"/>
      <c r="AJ82" s="370" t="s">
        <v>219</v>
      </c>
      <c r="AK82" s="370"/>
      <c r="AL82" s="370"/>
      <c r="AM82" s="370"/>
      <c r="AN82" s="369" t="s">
        <v>220</v>
      </c>
      <c r="AO82" s="370"/>
      <c r="AP82" s="370"/>
      <c r="AQ82" s="371"/>
      <c r="AR82" s="24"/>
      <c r="AS82" s="65"/>
      <c r="AT82" s="55">
        <v>36000</v>
      </c>
      <c r="AU82" s="55"/>
      <c r="AV82" s="56">
        <f>AT82+AU82</f>
        <v>36000</v>
      </c>
      <c r="AW82" s="32"/>
      <c r="AX82" s="28">
        <v>36300</v>
      </c>
      <c r="AY82" s="29">
        <f t="shared" si="3"/>
        <v>300</v>
      </c>
      <c r="AZ82" s="25"/>
      <c r="BA82" s="30"/>
    </row>
    <row r="83" spans="1:53" s="2" customFormat="1" ht="12.75">
      <c r="A83" s="395"/>
      <c r="B83" s="382" t="s">
        <v>204</v>
      </c>
      <c r="C83" s="383"/>
      <c r="D83" s="383"/>
      <c r="E83" s="384"/>
      <c r="F83" s="396" t="s">
        <v>221</v>
      </c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97"/>
      <c r="AF83" s="389" t="s">
        <v>216</v>
      </c>
      <c r="AG83" s="390"/>
      <c r="AH83" s="390"/>
      <c r="AI83" s="391"/>
      <c r="AJ83" s="390" t="s">
        <v>222</v>
      </c>
      <c r="AK83" s="390"/>
      <c r="AL83" s="390"/>
      <c r="AM83" s="390"/>
      <c r="AN83" s="389" t="s">
        <v>223</v>
      </c>
      <c r="AO83" s="390"/>
      <c r="AP83" s="390"/>
      <c r="AQ83" s="391"/>
      <c r="AR83" s="43"/>
      <c r="AS83" s="66">
        <f>SUM(AS76:AS82)</f>
        <v>4452000</v>
      </c>
      <c r="AT83" s="69">
        <f>SUM(AT76:AT82)</f>
        <v>5719500</v>
      </c>
      <c r="AU83" s="57">
        <f>SUM(AU76:AU82)-165000</f>
        <v>0</v>
      </c>
      <c r="AV83" s="57">
        <f>SUM(AV76:AV82)</f>
        <v>5884500</v>
      </c>
      <c r="AW83" s="33">
        <f>AV83-AT83</f>
        <v>165000</v>
      </c>
      <c r="AX83" s="34">
        <f>SUM(AX76:AX82)</f>
        <v>6021253.74</v>
      </c>
      <c r="AY83" s="35">
        <f>SUM(AY77:AY82)</f>
        <v>-48190.26000000001</v>
      </c>
      <c r="AZ83" s="44"/>
      <c r="BA83" s="36">
        <f>SUM(BA76:BA82)</f>
        <v>4675000</v>
      </c>
    </row>
    <row r="84" spans="1:53" ht="12.75" hidden="1">
      <c r="A84" s="395"/>
      <c r="B84" s="376" t="s">
        <v>224</v>
      </c>
      <c r="C84" s="377"/>
      <c r="D84" s="377"/>
      <c r="E84" s="378"/>
      <c r="F84" s="379" t="s">
        <v>208</v>
      </c>
      <c r="G84" s="380"/>
      <c r="H84" s="380"/>
      <c r="I84" s="380"/>
      <c r="J84" s="374" t="s">
        <v>209</v>
      </c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87"/>
      <c r="AF84" s="369"/>
      <c r="AG84" s="370"/>
      <c r="AH84" s="370"/>
      <c r="AI84" s="371"/>
      <c r="AJ84" s="370"/>
      <c r="AK84" s="370"/>
      <c r="AL84" s="370"/>
      <c r="AM84" s="370"/>
      <c r="AN84" s="369" t="s">
        <v>225</v>
      </c>
      <c r="AO84" s="370"/>
      <c r="AP84" s="370"/>
      <c r="AQ84" s="371"/>
      <c r="AR84" s="24"/>
      <c r="AS84" s="65"/>
      <c r="AT84" s="55"/>
      <c r="AU84" s="55"/>
      <c r="AV84" s="55"/>
      <c r="AW84" s="27"/>
      <c r="AX84" s="28">
        <v>131508.42</v>
      </c>
      <c r="AY84" s="29">
        <f>AX84-AV84</f>
        <v>131508.42</v>
      </c>
      <c r="AZ84" s="25"/>
      <c r="BA84" s="30"/>
    </row>
    <row r="85" spans="1:53" ht="12.75" hidden="1">
      <c r="A85" s="395"/>
      <c r="B85" s="376" t="s">
        <v>224</v>
      </c>
      <c r="C85" s="377"/>
      <c r="D85" s="377"/>
      <c r="E85" s="378"/>
      <c r="F85" s="379" t="s">
        <v>146</v>
      </c>
      <c r="G85" s="380"/>
      <c r="H85" s="380"/>
      <c r="I85" s="380"/>
      <c r="J85" s="374" t="s">
        <v>147</v>
      </c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87"/>
      <c r="AF85" s="369"/>
      <c r="AG85" s="370"/>
      <c r="AH85" s="370"/>
      <c r="AI85" s="371"/>
      <c r="AJ85" s="370"/>
      <c r="AK85" s="370"/>
      <c r="AL85" s="370"/>
      <c r="AM85" s="370"/>
      <c r="AN85" s="369" t="s">
        <v>226</v>
      </c>
      <c r="AO85" s="370"/>
      <c r="AP85" s="370"/>
      <c r="AQ85" s="371"/>
      <c r="AR85" s="24"/>
      <c r="AS85" s="65"/>
      <c r="AT85" s="55"/>
      <c r="AU85" s="55">
        <f>AV85-AT85</f>
        <v>36000</v>
      </c>
      <c r="AV85" s="55">
        <f>0+36000</f>
        <v>36000</v>
      </c>
      <c r="AW85" s="27"/>
      <c r="AX85" s="28">
        <v>35847.5</v>
      </c>
      <c r="AY85" s="29">
        <f>AX85-AV85</f>
        <v>-152.5</v>
      </c>
      <c r="AZ85" s="25"/>
      <c r="BA85" s="30"/>
    </row>
    <row r="86" spans="1:53" ht="12.75" hidden="1">
      <c r="A86" s="395"/>
      <c r="B86" s="376" t="s">
        <v>224</v>
      </c>
      <c r="C86" s="377"/>
      <c r="D86" s="377"/>
      <c r="E86" s="378"/>
      <c r="F86" s="379" t="s">
        <v>195</v>
      </c>
      <c r="G86" s="380"/>
      <c r="H86" s="380"/>
      <c r="I86" s="380"/>
      <c r="J86" s="374" t="s">
        <v>196</v>
      </c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87"/>
      <c r="AF86" s="369" t="s">
        <v>227</v>
      </c>
      <c r="AG86" s="370"/>
      <c r="AH86" s="370"/>
      <c r="AI86" s="371"/>
      <c r="AJ86" s="370" t="s">
        <v>227</v>
      </c>
      <c r="AK86" s="370"/>
      <c r="AL86" s="370"/>
      <c r="AM86" s="370"/>
      <c r="AN86" s="369" t="s">
        <v>228</v>
      </c>
      <c r="AO86" s="370"/>
      <c r="AP86" s="370"/>
      <c r="AQ86" s="371"/>
      <c r="AR86" s="24"/>
      <c r="AS86" s="65">
        <v>1250000</v>
      </c>
      <c r="AT86" s="55">
        <v>1250000</v>
      </c>
      <c r="AU86" s="55"/>
      <c r="AV86" s="56">
        <f>AT86+AU86</f>
        <v>1250000</v>
      </c>
      <c r="AW86" s="32"/>
      <c r="AX86" s="28">
        <v>937500</v>
      </c>
      <c r="AY86" s="29">
        <f>AX86-AV86</f>
        <v>-312500</v>
      </c>
      <c r="AZ86" s="25"/>
      <c r="BA86" s="30">
        <f>1250000*1.05-500</f>
        <v>1312000</v>
      </c>
    </row>
    <row r="87" spans="1:53" s="2" customFormat="1" ht="12.75">
      <c r="A87" s="395"/>
      <c r="B87" s="382" t="s">
        <v>224</v>
      </c>
      <c r="C87" s="383"/>
      <c r="D87" s="383"/>
      <c r="E87" s="384"/>
      <c r="F87" s="396" t="s">
        <v>229</v>
      </c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97"/>
      <c r="AF87" s="389" t="s">
        <v>227</v>
      </c>
      <c r="AG87" s="390"/>
      <c r="AH87" s="390"/>
      <c r="AI87" s="391"/>
      <c r="AJ87" s="390" t="s">
        <v>227</v>
      </c>
      <c r="AK87" s="390"/>
      <c r="AL87" s="390"/>
      <c r="AM87" s="390"/>
      <c r="AN87" s="389" t="s">
        <v>230</v>
      </c>
      <c r="AO87" s="390"/>
      <c r="AP87" s="390"/>
      <c r="AQ87" s="391"/>
      <c r="AR87" s="43"/>
      <c r="AS87" s="64">
        <f>SUM(AS84:AS86)</f>
        <v>1250000</v>
      </c>
      <c r="AT87" s="57">
        <f>SUM(AT84:AT86)</f>
        <v>1250000</v>
      </c>
      <c r="AU87" s="57">
        <f>SUM(AU84:AU86)-36000</f>
        <v>0</v>
      </c>
      <c r="AV87" s="57">
        <f>SUM(AV84:AV86)</f>
        <v>1286000</v>
      </c>
      <c r="AW87" s="33">
        <f>AV87-AT87</f>
        <v>36000</v>
      </c>
      <c r="AX87" s="34">
        <f>SUM(AX84:AX86)</f>
        <v>1104855.92</v>
      </c>
      <c r="AY87" s="35">
        <f>SUM(AY84:AY86)</f>
        <v>-181144.08</v>
      </c>
      <c r="AZ87" s="44"/>
      <c r="BA87" s="36">
        <f>SUM(BA84:BA86)</f>
        <v>1312000</v>
      </c>
    </row>
    <row r="88" spans="1:53" ht="12.75" hidden="1">
      <c r="A88" s="395"/>
      <c r="B88" s="376" t="s">
        <v>231</v>
      </c>
      <c r="C88" s="377"/>
      <c r="D88" s="377"/>
      <c r="E88" s="378"/>
      <c r="F88" s="379" t="s">
        <v>151</v>
      </c>
      <c r="G88" s="380"/>
      <c r="H88" s="380"/>
      <c r="I88" s="380"/>
      <c r="J88" s="374" t="s">
        <v>152</v>
      </c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87"/>
      <c r="AF88" s="369"/>
      <c r="AG88" s="370"/>
      <c r="AH88" s="370"/>
      <c r="AI88" s="371"/>
      <c r="AJ88" s="370" t="s">
        <v>232</v>
      </c>
      <c r="AK88" s="370"/>
      <c r="AL88" s="370"/>
      <c r="AM88" s="370"/>
      <c r="AN88" s="369" t="s">
        <v>232</v>
      </c>
      <c r="AO88" s="370"/>
      <c r="AP88" s="370"/>
      <c r="AQ88" s="371"/>
      <c r="AR88" s="24"/>
      <c r="AS88" s="65"/>
      <c r="AT88" s="55">
        <v>6000</v>
      </c>
      <c r="AU88" s="55"/>
      <c r="AV88" s="56">
        <f>AT88+AU88</f>
        <v>6000</v>
      </c>
      <c r="AW88" s="32"/>
      <c r="AX88" s="28">
        <v>6000</v>
      </c>
      <c r="AY88" s="29">
        <f>AX88-AV88</f>
        <v>0</v>
      </c>
      <c r="AZ88" s="25"/>
      <c r="BA88" s="30"/>
    </row>
    <row r="89" spans="1:53" s="2" customFormat="1" ht="12.75">
      <c r="A89" s="395"/>
      <c r="B89" s="382" t="s">
        <v>231</v>
      </c>
      <c r="C89" s="383"/>
      <c r="D89" s="383"/>
      <c r="E89" s="384"/>
      <c r="F89" s="396" t="s">
        <v>233</v>
      </c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85"/>
      <c r="Z89" s="385"/>
      <c r="AA89" s="385"/>
      <c r="AB89" s="385"/>
      <c r="AC89" s="385"/>
      <c r="AD89" s="385"/>
      <c r="AE89" s="397"/>
      <c r="AF89" s="389"/>
      <c r="AG89" s="390"/>
      <c r="AH89" s="390"/>
      <c r="AI89" s="391"/>
      <c r="AJ89" s="390" t="s">
        <v>232</v>
      </c>
      <c r="AK89" s="390"/>
      <c r="AL89" s="390"/>
      <c r="AM89" s="390"/>
      <c r="AN89" s="389" t="s">
        <v>232</v>
      </c>
      <c r="AO89" s="390"/>
      <c r="AP89" s="390"/>
      <c r="AQ89" s="391"/>
      <c r="AR89" s="43"/>
      <c r="AS89" s="64">
        <f>AS88</f>
        <v>0</v>
      </c>
      <c r="AT89" s="57">
        <f>AT88</f>
        <v>6000</v>
      </c>
      <c r="AU89" s="57">
        <f>AU88</f>
        <v>0</v>
      </c>
      <c r="AV89" s="57">
        <f>AV88</f>
        <v>6000</v>
      </c>
      <c r="AW89" s="33">
        <f>AV89-AT89</f>
        <v>0</v>
      </c>
      <c r="AX89" s="34">
        <f>AX88</f>
        <v>6000</v>
      </c>
      <c r="AY89" s="35">
        <f>AY88</f>
        <v>0</v>
      </c>
      <c r="AZ89" s="44"/>
      <c r="BA89" s="36">
        <f>BA88</f>
        <v>0</v>
      </c>
    </row>
    <row r="90" spans="1:53" ht="12.75" hidden="1">
      <c r="A90" s="401">
        <v>6</v>
      </c>
      <c r="B90" s="376" t="s">
        <v>234</v>
      </c>
      <c r="C90" s="377"/>
      <c r="D90" s="377"/>
      <c r="E90" s="378"/>
      <c r="F90" s="379" t="s">
        <v>235</v>
      </c>
      <c r="G90" s="380"/>
      <c r="H90" s="380"/>
      <c r="I90" s="380"/>
      <c r="J90" s="374" t="s">
        <v>236</v>
      </c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87"/>
      <c r="AF90" s="369" t="s">
        <v>237</v>
      </c>
      <c r="AG90" s="370"/>
      <c r="AH90" s="370"/>
      <c r="AI90" s="371"/>
      <c r="AJ90" s="370" t="s">
        <v>237</v>
      </c>
      <c r="AK90" s="370"/>
      <c r="AL90" s="370"/>
      <c r="AM90" s="370"/>
      <c r="AN90" s="369" t="s">
        <v>238</v>
      </c>
      <c r="AO90" s="370"/>
      <c r="AP90" s="370"/>
      <c r="AQ90" s="371"/>
      <c r="AR90" s="24"/>
      <c r="AS90" s="65">
        <v>292000</v>
      </c>
      <c r="AT90" s="55">
        <v>292000</v>
      </c>
      <c r="AU90" s="55"/>
      <c r="AV90" s="56">
        <f aca="true" t="shared" si="4" ref="AV90:AV96">AT90+AU90</f>
        <v>292000</v>
      </c>
      <c r="AW90" s="32"/>
      <c r="AX90" s="28">
        <v>365688</v>
      </c>
      <c r="AY90" s="29">
        <f aca="true" t="shared" si="5" ref="AY90:AY107">AX90-AV90</f>
        <v>73688</v>
      </c>
      <c r="AZ90" s="25"/>
      <c r="BA90" s="30">
        <f>292000+4000</f>
        <v>296000</v>
      </c>
    </row>
    <row r="91" spans="1:53" ht="12.75" hidden="1">
      <c r="A91" s="395"/>
      <c r="B91" s="376" t="s">
        <v>234</v>
      </c>
      <c r="C91" s="377"/>
      <c r="D91" s="377"/>
      <c r="E91" s="378"/>
      <c r="F91" s="379" t="s">
        <v>239</v>
      </c>
      <c r="G91" s="380"/>
      <c r="H91" s="380"/>
      <c r="I91" s="380"/>
      <c r="J91" s="374" t="s">
        <v>240</v>
      </c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87"/>
      <c r="AF91" s="369"/>
      <c r="AG91" s="370"/>
      <c r="AH91" s="370"/>
      <c r="AI91" s="371"/>
      <c r="AJ91" s="370"/>
      <c r="AK91" s="370"/>
      <c r="AL91" s="370"/>
      <c r="AM91" s="370"/>
      <c r="AN91" s="369" t="s">
        <v>241</v>
      </c>
      <c r="AO91" s="370"/>
      <c r="AP91" s="370"/>
      <c r="AQ91" s="371"/>
      <c r="AR91" s="24"/>
      <c r="AS91" s="65"/>
      <c r="AT91" s="55"/>
      <c r="AU91" s="55"/>
      <c r="AV91" s="56">
        <f t="shared" si="4"/>
        <v>0</v>
      </c>
      <c r="AW91" s="32"/>
      <c r="AX91" s="28">
        <v>37032</v>
      </c>
      <c r="AY91" s="29">
        <f t="shared" si="5"/>
        <v>37032</v>
      </c>
      <c r="AZ91" s="25"/>
      <c r="BA91" s="30"/>
    </row>
    <row r="92" spans="1:53" ht="12.75" hidden="1">
      <c r="A92" s="395"/>
      <c r="B92" s="376" t="s">
        <v>234</v>
      </c>
      <c r="C92" s="377"/>
      <c r="D92" s="377"/>
      <c r="E92" s="378"/>
      <c r="F92" s="379" t="s">
        <v>242</v>
      </c>
      <c r="G92" s="380"/>
      <c r="H92" s="380"/>
      <c r="I92" s="380"/>
      <c r="J92" s="374" t="s">
        <v>243</v>
      </c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87"/>
      <c r="AF92" s="369" t="s">
        <v>244</v>
      </c>
      <c r="AG92" s="370"/>
      <c r="AH92" s="370"/>
      <c r="AI92" s="371"/>
      <c r="AJ92" s="370" t="s">
        <v>244</v>
      </c>
      <c r="AK92" s="370"/>
      <c r="AL92" s="370"/>
      <c r="AM92" s="370"/>
      <c r="AN92" s="369" t="s">
        <v>245</v>
      </c>
      <c r="AO92" s="370"/>
      <c r="AP92" s="370"/>
      <c r="AQ92" s="371"/>
      <c r="AR92" s="24"/>
      <c r="AS92" s="65">
        <v>73000</v>
      </c>
      <c r="AT92" s="55">
        <v>73000</v>
      </c>
      <c r="AU92" s="55"/>
      <c r="AV92" s="56">
        <f t="shared" si="4"/>
        <v>73000</v>
      </c>
      <c r="AW92" s="32"/>
      <c r="AX92" s="28">
        <v>99519</v>
      </c>
      <c r="AY92" s="29">
        <f t="shared" si="5"/>
        <v>26519</v>
      </c>
      <c r="AZ92" s="25"/>
      <c r="BA92" s="30">
        <v>73000</v>
      </c>
    </row>
    <row r="93" spans="1:53" ht="12.75" hidden="1">
      <c r="A93" s="395"/>
      <c r="B93" s="376" t="s">
        <v>234</v>
      </c>
      <c r="C93" s="377"/>
      <c r="D93" s="377"/>
      <c r="E93" s="378"/>
      <c r="F93" s="379" t="s">
        <v>246</v>
      </c>
      <c r="G93" s="380"/>
      <c r="H93" s="380"/>
      <c r="I93" s="380"/>
      <c r="J93" s="374" t="s">
        <v>247</v>
      </c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87"/>
      <c r="AF93" s="369" t="s">
        <v>248</v>
      </c>
      <c r="AG93" s="370"/>
      <c r="AH93" s="370"/>
      <c r="AI93" s="371"/>
      <c r="AJ93" s="370" t="s">
        <v>248</v>
      </c>
      <c r="AK93" s="370"/>
      <c r="AL93" s="370"/>
      <c r="AM93" s="370"/>
      <c r="AN93" s="369" t="s">
        <v>249</v>
      </c>
      <c r="AO93" s="370"/>
      <c r="AP93" s="370"/>
      <c r="AQ93" s="371"/>
      <c r="AR93" s="24"/>
      <c r="AS93" s="65">
        <v>27000</v>
      </c>
      <c r="AT93" s="55">
        <v>27000</v>
      </c>
      <c r="AU93" s="55"/>
      <c r="AV93" s="56">
        <f t="shared" si="4"/>
        <v>27000</v>
      </c>
      <c r="AW93" s="32"/>
      <c r="AX93" s="28">
        <v>35264</v>
      </c>
      <c r="AY93" s="29">
        <f t="shared" si="5"/>
        <v>8264</v>
      </c>
      <c r="AZ93" s="25"/>
      <c r="BA93" s="30">
        <v>27000</v>
      </c>
    </row>
    <row r="94" spans="1:53" ht="12.75" hidden="1">
      <c r="A94" s="395"/>
      <c r="B94" s="376" t="s">
        <v>234</v>
      </c>
      <c r="C94" s="377"/>
      <c r="D94" s="377"/>
      <c r="E94" s="378"/>
      <c r="F94" s="379" t="s">
        <v>250</v>
      </c>
      <c r="G94" s="380"/>
      <c r="H94" s="380"/>
      <c r="I94" s="380"/>
      <c r="J94" s="374" t="s">
        <v>251</v>
      </c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87"/>
      <c r="AF94" s="369" t="s">
        <v>252</v>
      </c>
      <c r="AG94" s="370"/>
      <c r="AH94" s="370"/>
      <c r="AI94" s="371"/>
      <c r="AJ94" s="370" t="s">
        <v>252</v>
      </c>
      <c r="AK94" s="370"/>
      <c r="AL94" s="370"/>
      <c r="AM94" s="370"/>
      <c r="AN94" s="369" t="s">
        <v>253</v>
      </c>
      <c r="AO94" s="370"/>
      <c r="AP94" s="370"/>
      <c r="AQ94" s="371"/>
      <c r="AR94" s="24"/>
      <c r="AS94" s="65">
        <v>3000</v>
      </c>
      <c r="AT94" s="55">
        <v>3000</v>
      </c>
      <c r="AU94" s="55"/>
      <c r="AV94" s="56">
        <f t="shared" si="4"/>
        <v>3000</v>
      </c>
      <c r="AW94" s="32"/>
      <c r="AX94" s="28">
        <v>3255</v>
      </c>
      <c r="AY94" s="29">
        <f t="shared" si="5"/>
        <v>255</v>
      </c>
      <c r="AZ94" s="25"/>
      <c r="BA94" s="30">
        <v>3000</v>
      </c>
    </row>
    <row r="95" spans="1:53" ht="12.75" hidden="1">
      <c r="A95" s="395"/>
      <c r="B95" s="376" t="s">
        <v>234</v>
      </c>
      <c r="C95" s="377"/>
      <c r="D95" s="377"/>
      <c r="E95" s="378"/>
      <c r="F95" s="379" t="s">
        <v>254</v>
      </c>
      <c r="G95" s="380"/>
      <c r="H95" s="380"/>
      <c r="I95" s="380"/>
      <c r="J95" s="374" t="s">
        <v>255</v>
      </c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87"/>
      <c r="AF95" s="369"/>
      <c r="AG95" s="370"/>
      <c r="AH95" s="370"/>
      <c r="AI95" s="371"/>
      <c r="AJ95" s="370"/>
      <c r="AK95" s="370"/>
      <c r="AL95" s="370"/>
      <c r="AM95" s="370"/>
      <c r="AN95" s="369" t="s">
        <v>256</v>
      </c>
      <c r="AO95" s="370"/>
      <c r="AP95" s="370"/>
      <c r="AQ95" s="371"/>
      <c r="AR95" s="24"/>
      <c r="AS95" s="65"/>
      <c r="AT95" s="55"/>
      <c r="AU95" s="55"/>
      <c r="AV95" s="56">
        <f t="shared" si="4"/>
        <v>0</v>
      </c>
      <c r="AW95" s="32"/>
      <c r="AX95" s="28">
        <v>850</v>
      </c>
      <c r="AY95" s="29">
        <f t="shared" si="5"/>
        <v>850</v>
      </c>
      <c r="AZ95" s="25"/>
      <c r="BA95" s="30"/>
    </row>
    <row r="96" spans="1:53" ht="12.75" hidden="1">
      <c r="A96" s="395"/>
      <c r="B96" s="376" t="s">
        <v>234</v>
      </c>
      <c r="C96" s="377"/>
      <c r="D96" s="377"/>
      <c r="E96" s="378"/>
      <c r="F96" s="379" t="s">
        <v>257</v>
      </c>
      <c r="G96" s="380"/>
      <c r="H96" s="380"/>
      <c r="I96" s="380"/>
      <c r="J96" s="374" t="s">
        <v>258</v>
      </c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87"/>
      <c r="AF96" s="369" t="s">
        <v>252</v>
      </c>
      <c r="AG96" s="370"/>
      <c r="AH96" s="370"/>
      <c r="AI96" s="371"/>
      <c r="AJ96" s="370" t="s">
        <v>252</v>
      </c>
      <c r="AK96" s="370"/>
      <c r="AL96" s="370"/>
      <c r="AM96" s="370"/>
      <c r="AN96" s="369"/>
      <c r="AO96" s="370"/>
      <c r="AP96" s="370"/>
      <c r="AQ96" s="371"/>
      <c r="AR96" s="24"/>
      <c r="AS96" s="65">
        <v>3000</v>
      </c>
      <c r="AT96" s="55">
        <v>3000</v>
      </c>
      <c r="AU96" s="55"/>
      <c r="AV96" s="56">
        <f t="shared" si="4"/>
        <v>3000</v>
      </c>
      <c r="AW96" s="32"/>
      <c r="AX96" s="28"/>
      <c r="AY96" s="29">
        <f t="shared" si="5"/>
        <v>-3000</v>
      </c>
      <c r="AZ96" s="25"/>
      <c r="BA96" s="30">
        <v>3000</v>
      </c>
    </row>
    <row r="97" spans="1:53" ht="12.75" hidden="1">
      <c r="A97" s="395"/>
      <c r="B97" s="376" t="s">
        <v>234</v>
      </c>
      <c r="C97" s="377"/>
      <c r="D97" s="377"/>
      <c r="E97" s="378"/>
      <c r="F97" s="379" t="s">
        <v>259</v>
      </c>
      <c r="G97" s="380"/>
      <c r="H97" s="380"/>
      <c r="I97" s="380"/>
      <c r="J97" s="374" t="s">
        <v>260</v>
      </c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87"/>
      <c r="AF97" s="369" t="s">
        <v>261</v>
      </c>
      <c r="AG97" s="370"/>
      <c r="AH97" s="370"/>
      <c r="AI97" s="371"/>
      <c r="AJ97" s="370" t="s">
        <v>261</v>
      </c>
      <c r="AK97" s="370"/>
      <c r="AL97" s="370"/>
      <c r="AM97" s="370"/>
      <c r="AN97" s="369" t="s">
        <v>262</v>
      </c>
      <c r="AO97" s="370"/>
      <c r="AP97" s="370"/>
      <c r="AQ97" s="371"/>
      <c r="AR97" s="24"/>
      <c r="AS97" s="65">
        <v>2000</v>
      </c>
      <c r="AT97" s="55">
        <v>2000</v>
      </c>
      <c r="AU97" s="55">
        <f>AV97-AT97</f>
        <v>5000</v>
      </c>
      <c r="AV97" s="55">
        <f>2000+5000</f>
        <v>7000</v>
      </c>
      <c r="AW97" s="27"/>
      <c r="AX97" s="28">
        <v>7438.45</v>
      </c>
      <c r="AY97" s="29">
        <f t="shared" si="5"/>
        <v>438.4499999999998</v>
      </c>
      <c r="AZ97" s="25"/>
      <c r="BA97" s="30">
        <v>2000</v>
      </c>
    </row>
    <row r="98" spans="1:53" ht="12.75" hidden="1">
      <c r="A98" s="395"/>
      <c r="B98" s="376" t="s">
        <v>234</v>
      </c>
      <c r="C98" s="377"/>
      <c r="D98" s="377"/>
      <c r="E98" s="378"/>
      <c r="F98" s="379" t="s">
        <v>205</v>
      </c>
      <c r="G98" s="380"/>
      <c r="H98" s="380"/>
      <c r="I98" s="380"/>
      <c r="J98" s="374" t="s">
        <v>206</v>
      </c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87"/>
      <c r="AF98" s="369" t="s">
        <v>263</v>
      </c>
      <c r="AG98" s="370"/>
      <c r="AH98" s="370"/>
      <c r="AI98" s="371"/>
      <c r="AJ98" s="370" t="s">
        <v>263</v>
      </c>
      <c r="AK98" s="370"/>
      <c r="AL98" s="370"/>
      <c r="AM98" s="370"/>
      <c r="AN98" s="369" t="s">
        <v>264</v>
      </c>
      <c r="AO98" s="370"/>
      <c r="AP98" s="370"/>
      <c r="AQ98" s="371"/>
      <c r="AR98" s="24"/>
      <c r="AS98" s="65">
        <v>4000</v>
      </c>
      <c r="AT98" s="55">
        <v>4000</v>
      </c>
      <c r="AU98" s="55"/>
      <c r="AV98" s="56">
        <f aca="true" t="shared" si="6" ref="AV98:AV104">AT98+AU98</f>
        <v>4000</v>
      </c>
      <c r="AW98" s="32"/>
      <c r="AX98" s="28">
        <v>3984</v>
      </c>
      <c r="AY98" s="29">
        <f t="shared" si="5"/>
        <v>-16</v>
      </c>
      <c r="AZ98" s="25"/>
      <c r="BA98" s="30">
        <v>4000</v>
      </c>
    </row>
    <row r="99" spans="1:53" ht="12.75" hidden="1">
      <c r="A99" s="395"/>
      <c r="B99" s="376" t="s">
        <v>234</v>
      </c>
      <c r="C99" s="377"/>
      <c r="D99" s="377"/>
      <c r="E99" s="378"/>
      <c r="F99" s="379" t="s">
        <v>208</v>
      </c>
      <c r="G99" s="380"/>
      <c r="H99" s="380"/>
      <c r="I99" s="380"/>
      <c r="J99" s="374" t="s">
        <v>209</v>
      </c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87"/>
      <c r="AF99" s="369" t="s">
        <v>265</v>
      </c>
      <c r="AG99" s="370"/>
      <c r="AH99" s="370"/>
      <c r="AI99" s="371"/>
      <c r="AJ99" s="370" t="s">
        <v>166</v>
      </c>
      <c r="AK99" s="370"/>
      <c r="AL99" s="370"/>
      <c r="AM99" s="370"/>
      <c r="AN99" s="369" t="s">
        <v>266</v>
      </c>
      <c r="AO99" s="370"/>
      <c r="AP99" s="370"/>
      <c r="AQ99" s="371"/>
      <c r="AR99" s="24"/>
      <c r="AS99" s="65">
        <v>133000</v>
      </c>
      <c r="AT99" s="55">
        <v>164000</v>
      </c>
      <c r="AU99" s="55"/>
      <c r="AV99" s="56">
        <f t="shared" si="6"/>
        <v>164000</v>
      </c>
      <c r="AW99" s="32"/>
      <c r="AX99" s="28">
        <v>157149.12</v>
      </c>
      <c r="AY99" s="29">
        <f t="shared" si="5"/>
        <v>-6850.880000000005</v>
      </c>
      <c r="AZ99" s="25"/>
      <c r="BA99" s="30">
        <v>133000</v>
      </c>
    </row>
    <row r="100" spans="1:53" ht="12.75" hidden="1">
      <c r="A100" s="395"/>
      <c r="B100" s="376" t="s">
        <v>234</v>
      </c>
      <c r="C100" s="377"/>
      <c r="D100" s="377"/>
      <c r="E100" s="378"/>
      <c r="F100" s="379" t="s">
        <v>159</v>
      </c>
      <c r="G100" s="380"/>
      <c r="H100" s="380"/>
      <c r="I100" s="380"/>
      <c r="J100" s="374" t="s">
        <v>160</v>
      </c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87"/>
      <c r="AF100" s="369" t="s">
        <v>267</v>
      </c>
      <c r="AG100" s="370"/>
      <c r="AH100" s="370"/>
      <c r="AI100" s="371"/>
      <c r="AJ100" s="370" t="s">
        <v>267</v>
      </c>
      <c r="AK100" s="370"/>
      <c r="AL100" s="370"/>
      <c r="AM100" s="370"/>
      <c r="AN100" s="369" t="s">
        <v>268</v>
      </c>
      <c r="AO100" s="370"/>
      <c r="AP100" s="370"/>
      <c r="AQ100" s="371"/>
      <c r="AR100" s="24"/>
      <c r="AS100" s="65">
        <v>47000</v>
      </c>
      <c r="AT100" s="55">
        <v>47000</v>
      </c>
      <c r="AU100" s="55"/>
      <c r="AV100" s="56">
        <f t="shared" si="6"/>
        <v>47000</v>
      </c>
      <c r="AW100" s="32"/>
      <c r="AX100" s="28">
        <v>35600</v>
      </c>
      <c r="AY100" s="29">
        <f t="shared" si="5"/>
        <v>-11400</v>
      </c>
      <c r="AZ100" s="25"/>
      <c r="BA100" s="30">
        <v>47000</v>
      </c>
    </row>
    <row r="101" spans="1:53" ht="12.75" hidden="1">
      <c r="A101" s="395"/>
      <c r="B101" s="376" t="s">
        <v>234</v>
      </c>
      <c r="C101" s="377"/>
      <c r="D101" s="377"/>
      <c r="E101" s="378"/>
      <c r="F101" s="379" t="s">
        <v>269</v>
      </c>
      <c r="G101" s="380"/>
      <c r="H101" s="380"/>
      <c r="I101" s="380"/>
      <c r="J101" s="374" t="s">
        <v>270</v>
      </c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87"/>
      <c r="AF101" s="369"/>
      <c r="AG101" s="370"/>
      <c r="AH101" s="370"/>
      <c r="AI101" s="371"/>
      <c r="AJ101" s="370"/>
      <c r="AK101" s="370"/>
      <c r="AL101" s="370"/>
      <c r="AM101" s="370"/>
      <c r="AN101" s="369" t="s">
        <v>271</v>
      </c>
      <c r="AO101" s="370"/>
      <c r="AP101" s="370"/>
      <c r="AQ101" s="371"/>
      <c r="AR101" s="24"/>
      <c r="AS101" s="65"/>
      <c r="AT101" s="55"/>
      <c r="AU101" s="55"/>
      <c r="AV101" s="56">
        <f t="shared" si="6"/>
        <v>0</v>
      </c>
      <c r="AW101" s="32"/>
      <c r="AX101" s="28">
        <v>588</v>
      </c>
      <c r="AY101" s="29">
        <f t="shared" si="5"/>
        <v>588</v>
      </c>
      <c r="AZ101" s="25"/>
      <c r="BA101" s="30"/>
    </row>
    <row r="102" spans="1:53" ht="12.75" hidden="1">
      <c r="A102" s="395"/>
      <c r="B102" s="376" t="s">
        <v>234</v>
      </c>
      <c r="C102" s="377"/>
      <c r="D102" s="377"/>
      <c r="E102" s="378"/>
      <c r="F102" s="379" t="s">
        <v>272</v>
      </c>
      <c r="G102" s="380"/>
      <c r="H102" s="380"/>
      <c r="I102" s="380"/>
      <c r="J102" s="374" t="s">
        <v>273</v>
      </c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87"/>
      <c r="AF102" s="369" t="s">
        <v>274</v>
      </c>
      <c r="AG102" s="370"/>
      <c r="AH102" s="370"/>
      <c r="AI102" s="371"/>
      <c r="AJ102" s="370" t="s">
        <v>274</v>
      </c>
      <c r="AK102" s="370"/>
      <c r="AL102" s="370"/>
      <c r="AM102" s="370"/>
      <c r="AN102" s="369" t="s">
        <v>275</v>
      </c>
      <c r="AO102" s="370"/>
      <c r="AP102" s="370"/>
      <c r="AQ102" s="371"/>
      <c r="AR102" s="24"/>
      <c r="AS102" s="65">
        <v>26000</v>
      </c>
      <c r="AT102" s="55">
        <v>26000</v>
      </c>
      <c r="AU102" s="55"/>
      <c r="AV102" s="56">
        <f t="shared" si="6"/>
        <v>26000</v>
      </c>
      <c r="AW102" s="32"/>
      <c r="AX102" s="28">
        <v>22383</v>
      </c>
      <c r="AY102" s="29">
        <f t="shared" si="5"/>
        <v>-3617</v>
      </c>
      <c r="AZ102" s="25"/>
      <c r="BA102" s="30">
        <v>26000</v>
      </c>
    </row>
    <row r="103" spans="1:53" ht="12.75" hidden="1">
      <c r="A103" s="395"/>
      <c r="B103" s="376" t="s">
        <v>234</v>
      </c>
      <c r="C103" s="377"/>
      <c r="D103" s="377"/>
      <c r="E103" s="378"/>
      <c r="F103" s="379" t="s">
        <v>276</v>
      </c>
      <c r="G103" s="380"/>
      <c r="H103" s="380"/>
      <c r="I103" s="380"/>
      <c r="J103" s="374" t="s">
        <v>277</v>
      </c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87"/>
      <c r="AF103" s="369" t="s">
        <v>278</v>
      </c>
      <c r="AG103" s="370"/>
      <c r="AH103" s="370"/>
      <c r="AI103" s="371"/>
      <c r="AJ103" s="370" t="s">
        <v>278</v>
      </c>
      <c r="AK103" s="370"/>
      <c r="AL103" s="370"/>
      <c r="AM103" s="370"/>
      <c r="AN103" s="369" t="s">
        <v>279</v>
      </c>
      <c r="AO103" s="370"/>
      <c r="AP103" s="370"/>
      <c r="AQ103" s="371"/>
      <c r="AR103" s="24"/>
      <c r="AS103" s="65">
        <v>1000</v>
      </c>
      <c r="AT103" s="55">
        <v>1000</v>
      </c>
      <c r="AU103" s="55"/>
      <c r="AV103" s="56">
        <f t="shared" si="6"/>
        <v>1000</v>
      </c>
      <c r="AW103" s="32"/>
      <c r="AX103" s="28">
        <v>360</v>
      </c>
      <c r="AY103" s="29">
        <f t="shared" si="5"/>
        <v>-640</v>
      </c>
      <c r="AZ103" s="25"/>
      <c r="BA103" s="30">
        <v>1000</v>
      </c>
    </row>
    <row r="104" spans="1:53" ht="12.75" hidden="1">
      <c r="A104" s="395"/>
      <c r="B104" s="376" t="s">
        <v>234</v>
      </c>
      <c r="C104" s="377"/>
      <c r="D104" s="377"/>
      <c r="E104" s="378"/>
      <c r="F104" s="379" t="s">
        <v>142</v>
      </c>
      <c r="G104" s="380"/>
      <c r="H104" s="380"/>
      <c r="I104" s="380"/>
      <c r="J104" s="374" t="s">
        <v>143</v>
      </c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/>
      <c r="AB104" s="374"/>
      <c r="AC104" s="374"/>
      <c r="AD104" s="374"/>
      <c r="AE104" s="387"/>
      <c r="AF104" s="369" t="s">
        <v>280</v>
      </c>
      <c r="AG104" s="370"/>
      <c r="AH104" s="370"/>
      <c r="AI104" s="371"/>
      <c r="AJ104" s="370" t="s">
        <v>280</v>
      </c>
      <c r="AK104" s="370"/>
      <c r="AL104" s="370"/>
      <c r="AM104" s="370"/>
      <c r="AN104" s="369" t="s">
        <v>281</v>
      </c>
      <c r="AO104" s="370"/>
      <c r="AP104" s="370"/>
      <c r="AQ104" s="371"/>
      <c r="AR104" s="24"/>
      <c r="AS104" s="65">
        <v>9000</v>
      </c>
      <c r="AT104" s="55">
        <v>9000</v>
      </c>
      <c r="AU104" s="55"/>
      <c r="AV104" s="56">
        <f t="shared" si="6"/>
        <v>9000</v>
      </c>
      <c r="AW104" s="32"/>
      <c r="AX104" s="28">
        <v>4505</v>
      </c>
      <c r="AY104" s="29">
        <f t="shared" si="5"/>
        <v>-4495</v>
      </c>
      <c r="AZ104" s="25"/>
      <c r="BA104" s="30">
        <v>9000</v>
      </c>
    </row>
    <row r="105" spans="1:53" ht="12.75" hidden="1">
      <c r="A105" s="395"/>
      <c r="B105" s="376" t="s">
        <v>234</v>
      </c>
      <c r="C105" s="377"/>
      <c r="D105" s="377"/>
      <c r="E105" s="378"/>
      <c r="F105" s="379" t="s">
        <v>146</v>
      </c>
      <c r="G105" s="380"/>
      <c r="H105" s="380"/>
      <c r="I105" s="380"/>
      <c r="J105" s="374" t="s">
        <v>147</v>
      </c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87"/>
      <c r="AF105" s="369"/>
      <c r="AG105" s="370"/>
      <c r="AH105" s="370"/>
      <c r="AI105" s="371"/>
      <c r="AJ105" s="370" t="s">
        <v>282</v>
      </c>
      <c r="AK105" s="370"/>
      <c r="AL105" s="370"/>
      <c r="AM105" s="370"/>
      <c r="AN105" s="369" t="s">
        <v>283</v>
      </c>
      <c r="AO105" s="370"/>
      <c r="AP105" s="370"/>
      <c r="AQ105" s="371"/>
      <c r="AR105" s="24"/>
      <c r="AS105" s="65"/>
      <c r="AT105" s="55">
        <v>30000</v>
      </c>
      <c r="AU105" s="55">
        <f>AV105-AT105</f>
        <v>3000</v>
      </c>
      <c r="AV105" s="55">
        <f>30000+3000</f>
        <v>33000</v>
      </c>
      <c r="AW105" s="27"/>
      <c r="AX105" s="28">
        <v>32604.8</v>
      </c>
      <c r="AY105" s="29">
        <f t="shared" si="5"/>
        <v>-395.2000000000007</v>
      </c>
      <c r="AZ105" s="25"/>
      <c r="BA105" s="30"/>
    </row>
    <row r="106" spans="1:53" ht="12.75" hidden="1">
      <c r="A106" s="395"/>
      <c r="B106" s="376" t="s">
        <v>234</v>
      </c>
      <c r="C106" s="377"/>
      <c r="D106" s="377"/>
      <c r="E106" s="378"/>
      <c r="F106" s="379" t="s">
        <v>284</v>
      </c>
      <c r="G106" s="380"/>
      <c r="H106" s="380"/>
      <c r="I106" s="380"/>
      <c r="J106" s="374" t="s">
        <v>285</v>
      </c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87"/>
      <c r="AF106" s="369"/>
      <c r="AG106" s="370"/>
      <c r="AH106" s="370"/>
      <c r="AI106" s="371"/>
      <c r="AJ106" s="370"/>
      <c r="AK106" s="370"/>
      <c r="AL106" s="370"/>
      <c r="AM106" s="370"/>
      <c r="AN106" s="369" t="s">
        <v>232</v>
      </c>
      <c r="AO106" s="370"/>
      <c r="AP106" s="370"/>
      <c r="AQ106" s="371"/>
      <c r="AR106" s="24"/>
      <c r="AS106" s="65"/>
      <c r="AT106" s="55"/>
      <c r="AU106" s="55"/>
      <c r="AV106" s="56">
        <f>AT106+AU106</f>
        <v>0</v>
      </c>
      <c r="AW106" s="32"/>
      <c r="AX106" s="28">
        <v>6000</v>
      </c>
      <c r="AY106" s="29">
        <f t="shared" si="5"/>
        <v>6000</v>
      </c>
      <c r="AZ106" s="25"/>
      <c r="BA106" s="30"/>
    </row>
    <row r="107" spans="1:53" ht="12.75" hidden="1">
      <c r="A107" s="395"/>
      <c r="B107" s="376" t="s">
        <v>234</v>
      </c>
      <c r="C107" s="377"/>
      <c r="D107" s="377"/>
      <c r="E107" s="378"/>
      <c r="F107" s="379" t="s">
        <v>286</v>
      </c>
      <c r="G107" s="380"/>
      <c r="H107" s="380"/>
      <c r="I107" s="380"/>
      <c r="J107" s="374" t="s">
        <v>287</v>
      </c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4"/>
      <c r="AE107" s="387"/>
      <c r="AF107" s="369"/>
      <c r="AG107" s="370"/>
      <c r="AH107" s="370"/>
      <c r="AI107" s="371"/>
      <c r="AJ107" s="370"/>
      <c r="AK107" s="370"/>
      <c r="AL107" s="370"/>
      <c r="AM107" s="370"/>
      <c r="AN107" s="369" t="s">
        <v>288</v>
      </c>
      <c r="AO107" s="370"/>
      <c r="AP107" s="370"/>
      <c r="AQ107" s="371"/>
      <c r="AR107" s="24"/>
      <c r="AS107" s="65"/>
      <c r="AT107" s="55"/>
      <c r="AU107" s="55">
        <f>AV107-AT107</f>
        <v>11000</v>
      </c>
      <c r="AV107" s="55">
        <f>0+11000</f>
        <v>11000</v>
      </c>
      <c r="AW107" s="27"/>
      <c r="AX107" s="28">
        <v>11058</v>
      </c>
      <c r="AY107" s="29">
        <f t="shared" si="5"/>
        <v>58</v>
      </c>
      <c r="AZ107" s="25"/>
      <c r="BA107" s="30"/>
    </row>
    <row r="108" spans="1:53" s="2" customFormat="1" ht="12.75">
      <c r="A108" s="395"/>
      <c r="B108" s="382" t="s">
        <v>234</v>
      </c>
      <c r="C108" s="383"/>
      <c r="D108" s="383"/>
      <c r="E108" s="384"/>
      <c r="F108" s="396" t="s">
        <v>289</v>
      </c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385"/>
      <c r="AA108" s="385"/>
      <c r="AB108" s="385"/>
      <c r="AC108" s="385"/>
      <c r="AD108" s="385"/>
      <c r="AE108" s="397"/>
      <c r="AF108" s="389" t="s">
        <v>290</v>
      </c>
      <c r="AG108" s="390"/>
      <c r="AH108" s="390"/>
      <c r="AI108" s="391"/>
      <c r="AJ108" s="390" t="s">
        <v>291</v>
      </c>
      <c r="AK108" s="390"/>
      <c r="AL108" s="390"/>
      <c r="AM108" s="390"/>
      <c r="AN108" s="389" t="s">
        <v>292</v>
      </c>
      <c r="AO108" s="390"/>
      <c r="AP108" s="390"/>
      <c r="AQ108" s="391"/>
      <c r="AR108" s="43"/>
      <c r="AS108" s="64">
        <f>SUM(AS90:AS107)</f>
        <v>620000</v>
      </c>
      <c r="AT108" s="57">
        <f>SUM(AT90:AT107)</f>
        <v>681000</v>
      </c>
      <c r="AU108" s="57">
        <f>SUM(AU90:AU107)-19000</f>
        <v>0</v>
      </c>
      <c r="AV108" s="57">
        <f>SUM(AV90:AV107)</f>
        <v>700000</v>
      </c>
      <c r="AW108" s="33">
        <f>AV108-AT108</f>
        <v>19000</v>
      </c>
      <c r="AX108" s="34">
        <f>SUM(AX90:AX107)</f>
        <v>823278.37</v>
      </c>
      <c r="AY108" s="35">
        <f>SUM(AY90:AY107)</f>
        <v>123278.37000000001</v>
      </c>
      <c r="AZ108" s="44"/>
      <c r="BA108" s="36">
        <f>SUM(BA90:BA107)</f>
        <v>624000</v>
      </c>
    </row>
    <row r="109" spans="1:53" ht="12.75" hidden="1">
      <c r="A109" s="395"/>
      <c r="B109" s="376" t="s">
        <v>84</v>
      </c>
      <c r="C109" s="377"/>
      <c r="D109" s="377"/>
      <c r="E109" s="378"/>
      <c r="F109" s="379" t="s">
        <v>235</v>
      </c>
      <c r="G109" s="380"/>
      <c r="H109" s="380"/>
      <c r="I109" s="380"/>
      <c r="J109" s="374" t="s">
        <v>236</v>
      </c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87"/>
      <c r="AF109" s="369" t="s">
        <v>293</v>
      </c>
      <c r="AG109" s="370"/>
      <c r="AH109" s="370"/>
      <c r="AI109" s="371"/>
      <c r="AJ109" s="370" t="s">
        <v>293</v>
      </c>
      <c r="AK109" s="370"/>
      <c r="AL109" s="370"/>
      <c r="AM109" s="370"/>
      <c r="AN109" s="369" t="s">
        <v>294</v>
      </c>
      <c r="AO109" s="370"/>
      <c r="AP109" s="370"/>
      <c r="AQ109" s="371"/>
      <c r="AR109" s="24"/>
      <c r="AS109" s="65">
        <v>1252000</v>
      </c>
      <c r="AT109" s="55">
        <v>1252000</v>
      </c>
      <c r="AU109" s="55">
        <v>-152000</v>
      </c>
      <c r="AV109" s="56">
        <f aca="true" t="shared" si="7" ref="AV109:AV124">AT109+AU109</f>
        <v>1100000</v>
      </c>
      <c r="AW109" s="32"/>
      <c r="AX109" s="28">
        <v>901398</v>
      </c>
      <c r="AY109" s="29">
        <f aca="true" t="shared" si="8" ref="AY109:AY125">AX109-AV109</f>
        <v>-198602</v>
      </c>
      <c r="AZ109" s="25"/>
      <c r="BA109" s="30">
        <f>1252000-52000</f>
        <v>1200000</v>
      </c>
    </row>
    <row r="110" spans="1:53" ht="12.75" hidden="1">
      <c r="A110" s="395"/>
      <c r="B110" s="376" t="s">
        <v>84</v>
      </c>
      <c r="C110" s="377"/>
      <c r="D110" s="377"/>
      <c r="E110" s="378"/>
      <c r="F110" s="379" t="s">
        <v>239</v>
      </c>
      <c r="G110" s="380"/>
      <c r="H110" s="380"/>
      <c r="I110" s="380"/>
      <c r="J110" s="374" t="s">
        <v>240</v>
      </c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87"/>
      <c r="AF110" s="369"/>
      <c r="AG110" s="370"/>
      <c r="AH110" s="370"/>
      <c r="AI110" s="371"/>
      <c r="AJ110" s="370"/>
      <c r="AK110" s="370"/>
      <c r="AL110" s="370"/>
      <c r="AM110" s="370"/>
      <c r="AN110" s="369" t="s">
        <v>295</v>
      </c>
      <c r="AO110" s="370"/>
      <c r="AP110" s="370"/>
      <c r="AQ110" s="371"/>
      <c r="AR110" s="24"/>
      <c r="AS110" s="65"/>
      <c r="AT110" s="55"/>
      <c r="AU110" s="55">
        <v>22000</v>
      </c>
      <c r="AV110" s="56">
        <f t="shared" si="7"/>
        <v>22000</v>
      </c>
      <c r="AW110" s="32"/>
      <c r="AX110" s="28">
        <v>21911</v>
      </c>
      <c r="AY110" s="29">
        <f t="shared" si="8"/>
        <v>-89</v>
      </c>
      <c r="AZ110" s="25"/>
      <c r="BA110" s="30"/>
    </row>
    <row r="111" spans="1:53" ht="12.75" hidden="1">
      <c r="A111" s="395"/>
      <c r="B111" s="376" t="s">
        <v>84</v>
      </c>
      <c r="C111" s="377"/>
      <c r="D111" s="377"/>
      <c r="E111" s="378"/>
      <c r="F111" s="379" t="s">
        <v>242</v>
      </c>
      <c r="G111" s="380"/>
      <c r="H111" s="380"/>
      <c r="I111" s="380"/>
      <c r="J111" s="374" t="s">
        <v>243</v>
      </c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87"/>
      <c r="AF111" s="369" t="s">
        <v>296</v>
      </c>
      <c r="AG111" s="370"/>
      <c r="AH111" s="370"/>
      <c r="AI111" s="371"/>
      <c r="AJ111" s="370" t="s">
        <v>296</v>
      </c>
      <c r="AK111" s="370"/>
      <c r="AL111" s="370"/>
      <c r="AM111" s="370"/>
      <c r="AN111" s="369" t="s">
        <v>297</v>
      </c>
      <c r="AO111" s="370"/>
      <c r="AP111" s="370"/>
      <c r="AQ111" s="371"/>
      <c r="AR111" s="24"/>
      <c r="AS111" s="65">
        <v>313000</v>
      </c>
      <c r="AT111" s="55">
        <v>313000</v>
      </c>
      <c r="AU111" s="55">
        <v>-38000</v>
      </c>
      <c r="AV111" s="56">
        <f t="shared" si="7"/>
        <v>275000</v>
      </c>
      <c r="AW111" s="32"/>
      <c r="AX111" s="28">
        <v>231124</v>
      </c>
      <c r="AY111" s="29">
        <f t="shared" si="8"/>
        <v>-43876</v>
      </c>
      <c r="AZ111" s="25"/>
      <c r="BA111" s="30">
        <f>313000-13000</f>
        <v>300000</v>
      </c>
    </row>
    <row r="112" spans="1:53" ht="12.75" hidden="1">
      <c r="A112" s="395"/>
      <c r="B112" s="376" t="s">
        <v>84</v>
      </c>
      <c r="C112" s="377"/>
      <c r="D112" s="377"/>
      <c r="E112" s="378"/>
      <c r="F112" s="379" t="s">
        <v>246</v>
      </c>
      <c r="G112" s="380"/>
      <c r="H112" s="380"/>
      <c r="I112" s="380"/>
      <c r="J112" s="374" t="s">
        <v>247</v>
      </c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87"/>
      <c r="AF112" s="369" t="s">
        <v>298</v>
      </c>
      <c r="AG112" s="370"/>
      <c r="AH112" s="370"/>
      <c r="AI112" s="371"/>
      <c r="AJ112" s="370" t="s">
        <v>298</v>
      </c>
      <c r="AK112" s="370"/>
      <c r="AL112" s="370"/>
      <c r="AM112" s="370"/>
      <c r="AN112" s="369" t="s">
        <v>299</v>
      </c>
      <c r="AO112" s="370"/>
      <c r="AP112" s="370"/>
      <c r="AQ112" s="371"/>
      <c r="AR112" s="24"/>
      <c r="AS112" s="65">
        <v>113000</v>
      </c>
      <c r="AT112" s="55">
        <v>113000</v>
      </c>
      <c r="AU112" s="55">
        <v>-13000</v>
      </c>
      <c r="AV112" s="56">
        <f t="shared" si="7"/>
        <v>100000</v>
      </c>
      <c r="AW112" s="32"/>
      <c r="AX112" s="28">
        <v>83196</v>
      </c>
      <c r="AY112" s="29">
        <f t="shared" si="8"/>
        <v>-16804</v>
      </c>
      <c r="AZ112" s="25"/>
      <c r="BA112" s="30">
        <f>113000-5000</f>
        <v>108000</v>
      </c>
    </row>
    <row r="113" spans="1:53" ht="12.75" hidden="1">
      <c r="A113" s="395"/>
      <c r="B113" s="376" t="s">
        <v>84</v>
      </c>
      <c r="C113" s="377"/>
      <c r="D113" s="377"/>
      <c r="E113" s="378"/>
      <c r="F113" s="379" t="s">
        <v>250</v>
      </c>
      <c r="G113" s="380"/>
      <c r="H113" s="380"/>
      <c r="I113" s="380"/>
      <c r="J113" s="374" t="s">
        <v>251</v>
      </c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87"/>
      <c r="AF113" s="369" t="s">
        <v>300</v>
      </c>
      <c r="AG113" s="370"/>
      <c r="AH113" s="370"/>
      <c r="AI113" s="371"/>
      <c r="AJ113" s="370" t="s">
        <v>300</v>
      </c>
      <c r="AK113" s="370"/>
      <c r="AL113" s="370"/>
      <c r="AM113" s="370"/>
      <c r="AN113" s="369" t="s">
        <v>301</v>
      </c>
      <c r="AO113" s="370"/>
      <c r="AP113" s="370"/>
      <c r="AQ113" s="371"/>
      <c r="AR113" s="24"/>
      <c r="AS113" s="65">
        <v>5000</v>
      </c>
      <c r="AT113" s="55">
        <v>5000</v>
      </c>
      <c r="AU113" s="55"/>
      <c r="AV113" s="56">
        <f t="shared" si="7"/>
        <v>5000</v>
      </c>
      <c r="AW113" s="32"/>
      <c r="AX113" s="28">
        <v>4590</v>
      </c>
      <c r="AY113" s="29">
        <f t="shared" si="8"/>
        <v>-410</v>
      </c>
      <c r="AZ113" s="25"/>
      <c r="BA113" s="30">
        <v>5000</v>
      </c>
    </row>
    <row r="114" spans="1:53" ht="12.75" hidden="1">
      <c r="A114" s="395"/>
      <c r="B114" s="376" t="s">
        <v>84</v>
      </c>
      <c r="C114" s="377"/>
      <c r="D114" s="377"/>
      <c r="E114" s="378"/>
      <c r="F114" s="379" t="s">
        <v>254</v>
      </c>
      <c r="G114" s="380"/>
      <c r="H114" s="380"/>
      <c r="I114" s="380"/>
      <c r="J114" s="374" t="s">
        <v>255</v>
      </c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  <c r="AD114" s="374"/>
      <c r="AE114" s="387"/>
      <c r="AF114" s="369" t="s">
        <v>302</v>
      </c>
      <c r="AG114" s="370"/>
      <c r="AH114" s="370"/>
      <c r="AI114" s="371"/>
      <c r="AJ114" s="370" t="s">
        <v>303</v>
      </c>
      <c r="AK114" s="370"/>
      <c r="AL114" s="370"/>
      <c r="AM114" s="370"/>
      <c r="AN114" s="369" t="s">
        <v>304</v>
      </c>
      <c r="AO114" s="370"/>
      <c r="AP114" s="370"/>
      <c r="AQ114" s="371"/>
      <c r="AR114" s="24"/>
      <c r="AS114" s="65">
        <v>291000</v>
      </c>
      <c r="AT114" s="55">
        <v>343600</v>
      </c>
      <c r="AU114" s="55"/>
      <c r="AV114" s="56">
        <f t="shared" si="7"/>
        <v>343600</v>
      </c>
      <c r="AW114" s="32"/>
      <c r="AX114" s="28">
        <v>252388.4</v>
      </c>
      <c r="AY114" s="29">
        <f t="shared" si="8"/>
        <v>-91211.6</v>
      </c>
      <c r="AZ114" s="25"/>
      <c r="BA114" s="30">
        <f>291000-1000</f>
        <v>290000</v>
      </c>
    </row>
    <row r="115" spans="1:53" ht="12.75" hidden="1">
      <c r="A115" s="395"/>
      <c r="B115" s="376" t="s">
        <v>84</v>
      </c>
      <c r="C115" s="377"/>
      <c r="D115" s="377"/>
      <c r="E115" s="378"/>
      <c r="F115" s="379" t="s">
        <v>257</v>
      </c>
      <c r="G115" s="380"/>
      <c r="H115" s="380"/>
      <c r="I115" s="380"/>
      <c r="J115" s="374" t="s">
        <v>258</v>
      </c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87"/>
      <c r="AF115" s="369" t="s">
        <v>305</v>
      </c>
      <c r="AG115" s="370"/>
      <c r="AH115" s="370"/>
      <c r="AI115" s="371"/>
      <c r="AJ115" s="370" t="s">
        <v>305</v>
      </c>
      <c r="AK115" s="370"/>
      <c r="AL115" s="370"/>
      <c r="AM115" s="370"/>
      <c r="AN115" s="369" t="s">
        <v>306</v>
      </c>
      <c r="AO115" s="370"/>
      <c r="AP115" s="370"/>
      <c r="AQ115" s="371"/>
      <c r="AR115" s="24"/>
      <c r="AS115" s="65">
        <v>15000</v>
      </c>
      <c r="AT115" s="55">
        <v>15000</v>
      </c>
      <c r="AU115" s="55"/>
      <c r="AV115" s="56">
        <f t="shared" si="7"/>
        <v>15000</v>
      </c>
      <c r="AW115" s="32"/>
      <c r="AX115" s="28">
        <v>1730</v>
      </c>
      <c r="AY115" s="29">
        <f t="shared" si="8"/>
        <v>-13270</v>
      </c>
      <c r="AZ115" s="25"/>
      <c r="BA115" s="30">
        <v>15000</v>
      </c>
    </row>
    <row r="116" spans="1:53" ht="12.75" hidden="1">
      <c r="A116" s="395"/>
      <c r="B116" s="376" t="s">
        <v>84</v>
      </c>
      <c r="C116" s="377"/>
      <c r="D116" s="377"/>
      <c r="E116" s="378"/>
      <c r="F116" s="379" t="s">
        <v>259</v>
      </c>
      <c r="G116" s="380"/>
      <c r="H116" s="380"/>
      <c r="I116" s="380"/>
      <c r="J116" s="374" t="s">
        <v>260</v>
      </c>
      <c r="K116" s="374"/>
      <c r="L116" s="374"/>
      <c r="M116" s="374"/>
      <c r="N116" s="374"/>
      <c r="O116" s="374"/>
      <c r="P116" s="374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  <c r="AC116" s="374"/>
      <c r="AD116" s="374"/>
      <c r="AE116" s="387"/>
      <c r="AF116" s="369" t="s">
        <v>219</v>
      </c>
      <c r="AG116" s="370"/>
      <c r="AH116" s="370"/>
      <c r="AI116" s="371"/>
      <c r="AJ116" s="370" t="s">
        <v>219</v>
      </c>
      <c r="AK116" s="370"/>
      <c r="AL116" s="370"/>
      <c r="AM116" s="370"/>
      <c r="AN116" s="369" t="s">
        <v>307</v>
      </c>
      <c r="AO116" s="370"/>
      <c r="AP116" s="370"/>
      <c r="AQ116" s="371"/>
      <c r="AR116" s="24"/>
      <c r="AS116" s="65">
        <v>36000</v>
      </c>
      <c r="AT116" s="55">
        <v>36000</v>
      </c>
      <c r="AU116" s="55"/>
      <c r="AV116" s="56">
        <f t="shared" si="7"/>
        <v>36000</v>
      </c>
      <c r="AW116" s="32"/>
      <c r="AX116" s="28">
        <v>25559</v>
      </c>
      <c r="AY116" s="29">
        <f t="shared" si="8"/>
        <v>-10441</v>
      </c>
      <c r="AZ116" s="25"/>
      <c r="BA116" s="30">
        <v>36000</v>
      </c>
    </row>
    <row r="117" spans="1:53" ht="12.75" hidden="1">
      <c r="A117" s="395"/>
      <c r="B117" s="376" t="s">
        <v>84</v>
      </c>
      <c r="C117" s="377"/>
      <c r="D117" s="377"/>
      <c r="E117" s="378"/>
      <c r="F117" s="379" t="s">
        <v>208</v>
      </c>
      <c r="G117" s="380"/>
      <c r="H117" s="380"/>
      <c r="I117" s="380"/>
      <c r="J117" s="374" t="s">
        <v>209</v>
      </c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87"/>
      <c r="AF117" s="369" t="s">
        <v>308</v>
      </c>
      <c r="AG117" s="370"/>
      <c r="AH117" s="370"/>
      <c r="AI117" s="371"/>
      <c r="AJ117" s="370" t="s">
        <v>308</v>
      </c>
      <c r="AK117" s="370"/>
      <c r="AL117" s="370"/>
      <c r="AM117" s="370"/>
      <c r="AN117" s="369" t="s">
        <v>309</v>
      </c>
      <c r="AO117" s="370"/>
      <c r="AP117" s="370"/>
      <c r="AQ117" s="371"/>
      <c r="AR117" s="24"/>
      <c r="AS117" s="65">
        <v>103000</v>
      </c>
      <c r="AT117" s="55">
        <v>103000</v>
      </c>
      <c r="AU117" s="55">
        <v>-5000</v>
      </c>
      <c r="AV117" s="56">
        <f t="shared" si="7"/>
        <v>98000</v>
      </c>
      <c r="AW117" s="32"/>
      <c r="AX117" s="28">
        <v>80270.83</v>
      </c>
      <c r="AY117" s="29">
        <f t="shared" si="8"/>
        <v>-17729.17</v>
      </c>
      <c r="AZ117" s="25"/>
      <c r="BA117" s="30">
        <f>103000-5000</f>
        <v>98000</v>
      </c>
    </row>
    <row r="118" spans="1:53" ht="12.75" hidden="1">
      <c r="A118" s="395"/>
      <c r="B118" s="376" t="s">
        <v>84</v>
      </c>
      <c r="C118" s="377"/>
      <c r="D118" s="377"/>
      <c r="E118" s="378"/>
      <c r="F118" s="379" t="s">
        <v>159</v>
      </c>
      <c r="G118" s="380"/>
      <c r="H118" s="380"/>
      <c r="I118" s="380"/>
      <c r="J118" s="374" t="s">
        <v>160</v>
      </c>
      <c r="K118" s="374"/>
      <c r="L118" s="374"/>
      <c r="M118" s="374"/>
      <c r="N118" s="374"/>
      <c r="O118" s="374"/>
      <c r="P118" s="374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374"/>
      <c r="AD118" s="374"/>
      <c r="AE118" s="387"/>
      <c r="AF118" s="369" t="s">
        <v>310</v>
      </c>
      <c r="AG118" s="370"/>
      <c r="AH118" s="370"/>
      <c r="AI118" s="371"/>
      <c r="AJ118" s="370" t="s">
        <v>310</v>
      </c>
      <c r="AK118" s="370"/>
      <c r="AL118" s="370"/>
      <c r="AM118" s="370"/>
      <c r="AN118" s="369" t="s">
        <v>311</v>
      </c>
      <c r="AO118" s="370"/>
      <c r="AP118" s="370"/>
      <c r="AQ118" s="371"/>
      <c r="AR118" s="24"/>
      <c r="AS118" s="65">
        <v>66000</v>
      </c>
      <c r="AT118" s="55">
        <v>66000</v>
      </c>
      <c r="AU118" s="55">
        <v>-3000</v>
      </c>
      <c r="AV118" s="56">
        <f t="shared" si="7"/>
        <v>63000</v>
      </c>
      <c r="AW118" s="32"/>
      <c r="AX118" s="28">
        <v>56374</v>
      </c>
      <c r="AY118" s="29">
        <f t="shared" si="8"/>
        <v>-6626</v>
      </c>
      <c r="AZ118" s="25"/>
      <c r="BA118" s="30">
        <f>66000-3000</f>
        <v>63000</v>
      </c>
    </row>
    <row r="119" spans="1:53" ht="12.75" hidden="1">
      <c r="A119" s="395"/>
      <c r="B119" s="376" t="s">
        <v>84</v>
      </c>
      <c r="C119" s="377"/>
      <c r="D119" s="377"/>
      <c r="E119" s="378"/>
      <c r="F119" s="379" t="s">
        <v>269</v>
      </c>
      <c r="G119" s="380"/>
      <c r="H119" s="380"/>
      <c r="I119" s="380"/>
      <c r="J119" s="374" t="s">
        <v>270</v>
      </c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  <c r="AD119" s="374"/>
      <c r="AE119" s="387"/>
      <c r="AF119" s="369" t="s">
        <v>278</v>
      </c>
      <c r="AG119" s="370"/>
      <c r="AH119" s="370"/>
      <c r="AI119" s="371"/>
      <c r="AJ119" s="370" t="s">
        <v>278</v>
      </c>
      <c r="AK119" s="370"/>
      <c r="AL119" s="370"/>
      <c r="AM119" s="370"/>
      <c r="AN119" s="369" t="s">
        <v>312</v>
      </c>
      <c r="AO119" s="370"/>
      <c r="AP119" s="370"/>
      <c r="AQ119" s="371"/>
      <c r="AR119" s="24"/>
      <c r="AS119" s="65">
        <v>1000</v>
      </c>
      <c r="AT119" s="55">
        <v>1000</v>
      </c>
      <c r="AU119" s="55"/>
      <c r="AV119" s="56">
        <f t="shared" si="7"/>
        <v>1000</v>
      </c>
      <c r="AW119" s="32"/>
      <c r="AX119" s="28">
        <v>357</v>
      </c>
      <c r="AY119" s="29">
        <f t="shared" si="8"/>
        <v>-643</v>
      </c>
      <c r="AZ119" s="25"/>
      <c r="BA119" s="30">
        <v>1000</v>
      </c>
    </row>
    <row r="120" spans="1:53" ht="12.75" hidden="1">
      <c r="A120" s="395"/>
      <c r="B120" s="376" t="s">
        <v>84</v>
      </c>
      <c r="C120" s="377"/>
      <c r="D120" s="377"/>
      <c r="E120" s="378"/>
      <c r="F120" s="379" t="s">
        <v>272</v>
      </c>
      <c r="G120" s="380"/>
      <c r="H120" s="380"/>
      <c r="I120" s="380"/>
      <c r="J120" s="374" t="s">
        <v>273</v>
      </c>
      <c r="K120" s="374"/>
      <c r="L120" s="374"/>
      <c r="M120" s="374"/>
      <c r="N120" s="374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87"/>
      <c r="AF120" s="369" t="s">
        <v>34</v>
      </c>
      <c r="AG120" s="370"/>
      <c r="AH120" s="370"/>
      <c r="AI120" s="371"/>
      <c r="AJ120" s="370" t="s">
        <v>34</v>
      </c>
      <c r="AK120" s="370"/>
      <c r="AL120" s="370"/>
      <c r="AM120" s="370"/>
      <c r="AN120" s="369" t="s">
        <v>313</v>
      </c>
      <c r="AO120" s="370"/>
      <c r="AP120" s="370"/>
      <c r="AQ120" s="371"/>
      <c r="AR120" s="24"/>
      <c r="AS120" s="65">
        <v>11000</v>
      </c>
      <c r="AT120" s="55">
        <v>11000</v>
      </c>
      <c r="AU120" s="55"/>
      <c r="AV120" s="56">
        <f t="shared" si="7"/>
        <v>11000</v>
      </c>
      <c r="AW120" s="32"/>
      <c r="AX120" s="28">
        <v>9228</v>
      </c>
      <c r="AY120" s="29">
        <f t="shared" si="8"/>
        <v>-1772</v>
      </c>
      <c r="AZ120" s="25"/>
      <c r="BA120" s="30">
        <v>11000</v>
      </c>
    </row>
    <row r="121" spans="1:53" ht="12.75" hidden="1">
      <c r="A121" s="395"/>
      <c r="B121" s="376" t="s">
        <v>84</v>
      </c>
      <c r="C121" s="377"/>
      <c r="D121" s="377"/>
      <c r="E121" s="378"/>
      <c r="F121" s="379" t="s">
        <v>276</v>
      </c>
      <c r="G121" s="380"/>
      <c r="H121" s="380"/>
      <c r="I121" s="380"/>
      <c r="J121" s="374" t="s">
        <v>277</v>
      </c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87"/>
      <c r="AF121" s="369"/>
      <c r="AG121" s="370"/>
      <c r="AH121" s="370"/>
      <c r="AI121" s="371"/>
      <c r="AJ121" s="370"/>
      <c r="AK121" s="370"/>
      <c r="AL121" s="370"/>
      <c r="AM121" s="370"/>
      <c r="AN121" s="369" t="s">
        <v>314</v>
      </c>
      <c r="AO121" s="370"/>
      <c r="AP121" s="370"/>
      <c r="AQ121" s="371"/>
      <c r="AR121" s="24"/>
      <c r="AS121" s="65"/>
      <c r="AT121" s="55"/>
      <c r="AU121" s="55">
        <v>1000</v>
      </c>
      <c r="AV121" s="56">
        <f t="shared" si="7"/>
        <v>1000</v>
      </c>
      <c r="AW121" s="32"/>
      <c r="AX121" s="28">
        <v>800</v>
      </c>
      <c r="AY121" s="29">
        <f t="shared" si="8"/>
        <v>-200</v>
      </c>
      <c r="AZ121" s="25"/>
      <c r="BA121" s="30"/>
    </row>
    <row r="122" spans="1:53" ht="12.75" hidden="1">
      <c r="A122" s="395"/>
      <c r="B122" s="376" t="s">
        <v>84</v>
      </c>
      <c r="C122" s="377"/>
      <c r="D122" s="377"/>
      <c r="E122" s="378"/>
      <c r="F122" s="379" t="s">
        <v>142</v>
      </c>
      <c r="G122" s="380"/>
      <c r="H122" s="380"/>
      <c r="I122" s="380"/>
      <c r="J122" s="374" t="s">
        <v>143</v>
      </c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87"/>
      <c r="AF122" s="369" t="s">
        <v>315</v>
      </c>
      <c r="AG122" s="370"/>
      <c r="AH122" s="370"/>
      <c r="AI122" s="371"/>
      <c r="AJ122" s="370" t="s">
        <v>316</v>
      </c>
      <c r="AK122" s="370"/>
      <c r="AL122" s="370"/>
      <c r="AM122" s="370"/>
      <c r="AN122" s="369" t="s">
        <v>317</v>
      </c>
      <c r="AO122" s="370"/>
      <c r="AP122" s="370"/>
      <c r="AQ122" s="371"/>
      <c r="AR122" s="24"/>
      <c r="AS122" s="65">
        <v>55000</v>
      </c>
      <c r="AT122" s="55">
        <v>81000</v>
      </c>
      <c r="AU122" s="55"/>
      <c r="AV122" s="56">
        <f t="shared" si="7"/>
        <v>81000</v>
      </c>
      <c r="AW122" s="32"/>
      <c r="AX122" s="28">
        <v>66601.28</v>
      </c>
      <c r="AY122" s="29">
        <f t="shared" si="8"/>
        <v>-14398.720000000001</v>
      </c>
      <c r="AZ122" s="25"/>
      <c r="BA122" s="30">
        <f>55000*1.15+1750</f>
        <v>64999.99999999999</v>
      </c>
    </row>
    <row r="123" spans="1:53" ht="12.75" hidden="1">
      <c r="A123" s="395"/>
      <c r="B123" s="376" t="s">
        <v>84</v>
      </c>
      <c r="C123" s="377"/>
      <c r="D123" s="377"/>
      <c r="E123" s="378"/>
      <c r="F123" s="379" t="s">
        <v>146</v>
      </c>
      <c r="G123" s="380"/>
      <c r="H123" s="380"/>
      <c r="I123" s="380"/>
      <c r="J123" s="374" t="s">
        <v>147</v>
      </c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87"/>
      <c r="AF123" s="369" t="s">
        <v>318</v>
      </c>
      <c r="AG123" s="370"/>
      <c r="AH123" s="370"/>
      <c r="AI123" s="371"/>
      <c r="AJ123" s="370" t="s">
        <v>319</v>
      </c>
      <c r="AK123" s="370"/>
      <c r="AL123" s="370"/>
      <c r="AM123" s="370"/>
      <c r="AN123" s="369" t="s">
        <v>320</v>
      </c>
      <c r="AO123" s="370"/>
      <c r="AP123" s="370"/>
      <c r="AQ123" s="371"/>
      <c r="AR123" s="24"/>
      <c r="AS123" s="65">
        <v>24000</v>
      </c>
      <c r="AT123" s="55">
        <v>56000</v>
      </c>
      <c r="AU123" s="55"/>
      <c r="AV123" s="56">
        <f t="shared" si="7"/>
        <v>56000</v>
      </c>
      <c r="AW123" s="32"/>
      <c r="AX123" s="28">
        <v>56046.6</v>
      </c>
      <c r="AY123" s="29">
        <f t="shared" si="8"/>
        <v>46.599999999998545</v>
      </c>
      <c r="AZ123" s="25"/>
      <c r="BA123" s="30">
        <v>24000</v>
      </c>
    </row>
    <row r="124" spans="1:53" ht="12.75" hidden="1">
      <c r="A124" s="395"/>
      <c r="B124" s="376" t="s">
        <v>84</v>
      </c>
      <c r="C124" s="377"/>
      <c r="D124" s="377"/>
      <c r="E124" s="378"/>
      <c r="F124" s="379" t="s">
        <v>284</v>
      </c>
      <c r="G124" s="380"/>
      <c r="H124" s="380"/>
      <c r="I124" s="380"/>
      <c r="J124" s="374" t="s">
        <v>285</v>
      </c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87"/>
      <c r="AF124" s="369"/>
      <c r="AG124" s="370"/>
      <c r="AH124" s="370"/>
      <c r="AI124" s="371"/>
      <c r="AJ124" s="370"/>
      <c r="AK124" s="370"/>
      <c r="AL124" s="370"/>
      <c r="AM124" s="370"/>
      <c r="AN124" s="369" t="s">
        <v>321</v>
      </c>
      <c r="AO124" s="370"/>
      <c r="AP124" s="370"/>
      <c r="AQ124" s="371"/>
      <c r="AR124" s="24"/>
      <c r="AS124" s="65"/>
      <c r="AT124" s="55"/>
      <c r="AU124" s="55"/>
      <c r="AV124" s="56">
        <f t="shared" si="7"/>
        <v>0</v>
      </c>
      <c r="AW124" s="32"/>
      <c r="AX124" s="28">
        <v>7000</v>
      </c>
      <c r="AY124" s="29">
        <f t="shared" si="8"/>
        <v>7000</v>
      </c>
      <c r="AZ124" s="25"/>
      <c r="BA124" s="30"/>
    </row>
    <row r="125" spans="1:53" ht="12.75" hidden="1">
      <c r="A125" s="395"/>
      <c r="B125" s="376" t="s">
        <v>84</v>
      </c>
      <c r="C125" s="377"/>
      <c r="D125" s="377"/>
      <c r="E125" s="378"/>
      <c r="F125" s="379" t="s">
        <v>286</v>
      </c>
      <c r="G125" s="380"/>
      <c r="H125" s="380"/>
      <c r="I125" s="380"/>
      <c r="J125" s="374" t="s">
        <v>287</v>
      </c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87"/>
      <c r="AF125" s="369" t="s">
        <v>322</v>
      </c>
      <c r="AG125" s="370"/>
      <c r="AH125" s="370"/>
      <c r="AI125" s="371"/>
      <c r="AJ125" s="370" t="s">
        <v>322</v>
      </c>
      <c r="AK125" s="370"/>
      <c r="AL125" s="370"/>
      <c r="AM125" s="370"/>
      <c r="AN125" s="369" t="s">
        <v>323</v>
      </c>
      <c r="AO125" s="370"/>
      <c r="AP125" s="370"/>
      <c r="AQ125" s="371"/>
      <c r="AR125" s="24"/>
      <c r="AS125" s="65">
        <v>25000</v>
      </c>
      <c r="AT125" s="55">
        <v>25000</v>
      </c>
      <c r="AU125" s="55">
        <f>AV125-AT125</f>
        <v>-20000</v>
      </c>
      <c r="AV125" s="55">
        <f>25000-20000</f>
        <v>5000</v>
      </c>
      <c r="AW125" s="27"/>
      <c r="AX125" s="28">
        <v>4503</v>
      </c>
      <c r="AY125" s="29">
        <f t="shared" si="8"/>
        <v>-497</v>
      </c>
      <c r="AZ125" s="25"/>
      <c r="BA125" s="30">
        <f>25000-15000</f>
        <v>10000</v>
      </c>
    </row>
    <row r="126" spans="1:53" s="2" customFormat="1" ht="12.75">
      <c r="A126" s="395"/>
      <c r="B126" s="382" t="s">
        <v>84</v>
      </c>
      <c r="C126" s="383"/>
      <c r="D126" s="383"/>
      <c r="E126" s="384"/>
      <c r="F126" s="396" t="s">
        <v>89</v>
      </c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97"/>
      <c r="AF126" s="389" t="s">
        <v>324</v>
      </c>
      <c r="AG126" s="390"/>
      <c r="AH126" s="390"/>
      <c r="AI126" s="391"/>
      <c r="AJ126" s="390" t="s">
        <v>325</v>
      </c>
      <c r="AK126" s="390"/>
      <c r="AL126" s="390"/>
      <c r="AM126" s="390"/>
      <c r="AN126" s="389" t="s">
        <v>326</v>
      </c>
      <c r="AO126" s="390"/>
      <c r="AP126" s="390"/>
      <c r="AQ126" s="391"/>
      <c r="AR126" s="43"/>
      <c r="AS126" s="64">
        <f>SUM(AS109:AS125)</f>
        <v>2310000</v>
      </c>
      <c r="AT126" s="57">
        <f>SUM(AT109:AT125)</f>
        <v>2420600</v>
      </c>
      <c r="AU126" s="57">
        <f>SUM(AU109:AU125)+208000</f>
        <v>0</v>
      </c>
      <c r="AV126" s="57">
        <f>SUM(AV109:AV125)</f>
        <v>2212600</v>
      </c>
      <c r="AW126" s="33">
        <f>AV126-AT126</f>
        <v>-208000</v>
      </c>
      <c r="AX126" s="34">
        <f>SUM(AX109:AX125)</f>
        <v>1803077.11</v>
      </c>
      <c r="AY126" s="35">
        <f>SUM(AY109:AY125)</f>
        <v>-409522.89</v>
      </c>
      <c r="AZ126" s="44"/>
      <c r="BA126" s="36">
        <f>SUM(BA109:BA125)</f>
        <v>2226000</v>
      </c>
    </row>
    <row r="127" spans="1:53" ht="12.75" hidden="1">
      <c r="A127" s="395"/>
      <c r="B127" s="376" t="s">
        <v>90</v>
      </c>
      <c r="C127" s="377"/>
      <c r="D127" s="377"/>
      <c r="E127" s="378"/>
      <c r="F127" s="379" t="s">
        <v>235</v>
      </c>
      <c r="G127" s="380"/>
      <c r="H127" s="380"/>
      <c r="I127" s="380"/>
      <c r="J127" s="374" t="s">
        <v>236</v>
      </c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87"/>
      <c r="AF127" s="369" t="s">
        <v>327</v>
      </c>
      <c r="AG127" s="370"/>
      <c r="AH127" s="370"/>
      <c r="AI127" s="371"/>
      <c r="AJ127" s="370" t="s">
        <v>327</v>
      </c>
      <c r="AK127" s="370"/>
      <c r="AL127" s="370"/>
      <c r="AM127" s="370"/>
      <c r="AN127" s="369" t="s">
        <v>328</v>
      </c>
      <c r="AO127" s="370"/>
      <c r="AP127" s="370"/>
      <c r="AQ127" s="371"/>
      <c r="AR127" s="24"/>
      <c r="AS127" s="65">
        <v>542000</v>
      </c>
      <c r="AT127" s="55">
        <v>542000</v>
      </c>
      <c r="AU127" s="55">
        <f>78000*0</f>
        <v>0</v>
      </c>
      <c r="AV127" s="55">
        <f>542000+AU127</f>
        <v>542000</v>
      </c>
      <c r="AW127" s="27"/>
      <c r="AX127" s="28">
        <v>565913</v>
      </c>
      <c r="AY127" s="29">
        <f aca="true" t="shared" si="9" ref="AY127:AY144">AX127-AV127</f>
        <v>23913</v>
      </c>
      <c r="AZ127" s="25"/>
      <c r="BA127" s="30">
        <f>542000+28000</f>
        <v>570000</v>
      </c>
    </row>
    <row r="128" spans="1:53" ht="12.75" hidden="1">
      <c r="A128" s="395"/>
      <c r="B128" s="376" t="s">
        <v>90</v>
      </c>
      <c r="C128" s="377"/>
      <c r="D128" s="377"/>
      <c r="E128" s="378"/>
      <c r="F128" s="379" t="s">
        <v>239</v>
      </c>
      <c r="G128" s="380"/>
      <c r="H128" s="380"/>
      <c r="I128" s="380"/>
      <c r="J128" s="374" t="s">
        <v>240</v>
      </c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87"/>
      <c r="AF128" s="369" t="s">
        <v>329</v>
      </c>
      <c r="AG128" s="370"/>
      <c r="AH128" s="370"/>
      <c r="AI128" s="371"/>
      <c r="AJ128" s="370" t="s">
        <v>329</v>
      </c>
      <c r="AK128" s="370"/>
      <c r="AL128" s="370"/>
      <c r="AM128" s="370"/>
      <c r="AN128" s="369" t="s">
        <v>330</v>
      </c>
      <c r="AO128" s="370"/>
      <c r="AP128" s="370"/>
      <c r="AQ128" s="371"/>
      <c r="AR128" s="24"/>
      <c r="AS128" s="65">
        <v>54000</v>
      </c>
      <c r="AT128" s="55">
        <v>54000</v>
      </c>
      <c r="AU128" s="55">
        <v>-14000</v>
      </c>
      <c r="AV128" s="56">
        <f aca="true" t="shared" si="10" ref="AV128:AV134">AT128+AU128</f>
        <v>40000</v>
      </c>
      <c r="AW128" s="32"/>
      <c r="AX128" s="28">
        <v>30145</v>
      </c>
      <c r="AY128" s="29">
        <f t="shared" si="9"/>
        <v>-9855</v>
      </c>
      <c r="AZ128" s="25"/>
      <c r="BA128" s="30">
        <f>54000-12000</f>
        <v>42000</v>
      </c>
    </row>
    <row r="129" spans="1:53" ht="12.75" hidden="1">
      <c r="A129" s="395"/>
      <c r="B129" s="376" t="s">
        <v>90</v>
      </c>
      <c r="C129" s="377"/>
      <c r="D129" s="377"/>
      <c r="E129" s="378"/>
      <c r="F129" s="379" t="s">
        <v>242</v>
      </c>
      <c r="G129" s="380"/>
      <c r="H129" s="380"/>
      <c r="I129" s="380"/>
      <c r="J129" s="374" t="s">
        <v>243</v>
      </c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87"/>
      <c r="AF129" s="369" t="s">
        <v>331</v>
      </c>
      <c r="AG129" s="370"/>
      <c r="AH129" s="370"/>
      <c r="AI129" s="371"/>
      <c r="AJ129" s="370" t="s">
        <v>331</v>
      </c>
      <c r="AK129" s="370"/>
      <c r="AL129" s="370"/>
      <c r="AM129" s="370"/>
      <c r="AN129" s="369" t="s">
        <v>332</v>
      </c>
      <c r="AO129" s="370"/>
      <c r="AP129" s="370"/>
      <c r="AQ129" s="371"/>
      <c r="AR129" s="24"/>
      <c r="AS129" s="65">
        <v>135000</v>
      </c>
      <c r="AT129" s="55">
        <v>135000</v>
      </c>
      <c r="AU129" s="55">
        <f>19000*0</f>
        <v>0</v>
      </c>
      <c r="AV129" s="56">
        <f t="shared" si="10"/>
        <v>135000</v>
      </c>
      <c r="AW129" s="32"/>
      <c r="AX129" s="28">
        <v>141786</v>
      </c>
      <c r="AY129" s="29">
        <f t="shared" si="9"/>
        <v>6786</v>
      </c>
      <c r="AZ129" s="25"/>
      <c r="BA129" s="30">
        <f>135000+8000</f>
        <v>143000</v>
      </c>
    </row>
    <row r="130" spans="1:53" ht="12.75" hidden="1">
      <c r="A130" s="395"/>
      <c r="B130" s="376" t="s">
        <v>90</v>
      </c>
      <c r="C130" s="377"/>
      <c r="D130" s="377"/>
      <c r="E130" s="378"/>
      <c r="F130" s="379" t="s">
        <v>246</v>
      </c>
      <c r="G130" s="380"/>
      <c r="H130" s="380"/>
      <c r="I130" s="380"/>
      <c r="J130" s="374" t="s">
        <v>247</v>
      </c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87"/>
      <c r="AF130" s="369" t="s">
        <v>333</v>
      </c>
      <c r="AG130" s="370"/>
      <c r="AH130" s="370"/>
      <c r="AI130" s="371"/>
      <c r="AJ130" s="370" t="s">
        <v>333</v>
      </c>
      <c r="AK130" s="370"/>
      <c r="AL130" s="370"/>
      <c r="AM130" s="370"/>
      <c r="AN130" s="369" t="s">
        <v>334</v>
      </c>
      <c r="AO130" s="370"/>
      <c r="AP130" s="370"/>
      <c r="AQ130" s="371"/>
      <c r="AR130" s="24"/>
      <c r="AS130" s="65">
        <v>49000</v>
      </c>
      <c r="AT130" s="55">
        <v>49000</v>
      </c>
      <c r="AU130" s="55">
        <f>7000*0</f>
        <v>0</v>
      </c>
      <c r="AV130" s="56">
        <f t="shared" si="10"/>
        <v>49000</v>
      </c>
      <c r="AW130" s="32"/>
      <c r="AX130" s="28">
        <v>51038</v>
      </c>
      <c r="AY130" s="29">
        <f t="shared" si="9"/>
        <v>2038</v>
      </c>
      <c r="AZ130" s="25"/>
      <c r="BA130" s="30">
        <f>49000+2000</f>
        <v>51000</v>
      </c>
    </row>
    <row r="131" spans="1:53" ht="12.75" hidden="1">
      <c r="A131" s="395"/>
      <c r="B131" s="376" t="s">
        <v>90</v>
      </c>
      <c r="C131" s="377"/>
      <c r="D131" s="377"/>
      <c r="E131" s="378"/>
      <c r="F131" s="379" t="s">
        <v>250</v>
      </c>
      <c r="G131" s="380"/>
      <c r="H131" s="380"/>
      <c r="I131" s="380"/>
      <c r="J131" s="374" t="s">
        <v>251</v>
      </c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87"/>
      <c r="AF131" s="369" t="s">
        <v>263</v>
      </c>
      <c r="AG131" s="370"/>
      <c r="AH131" s="370"/>
      <c r="AI131" s="371"/>
      <c r="AJ131" s="370" t="s">
        <v>263</v>
      </c>
      <c r="AK131" s="370"/>
      <c r="AL131" s="370"/>
      <c r="AM131" s="370"/>
      <c r="AN131" s="369" t="s">
        <v>335</v>
      </c>
      <c r="AO131" s="370"/>
      <c r="AP131" s="370"/>
      <c r="AQ131" s="371"/>
      <c r="AR131" s="24"/>
      <c r="AS131" s="65">
        <v>4000</v>
      </c>
      <c r="AT131" s="55">
        <v>4000</v>
      </c>
      <c r="AU131" s="55"/>
      <c r="AV131" s="56">
        <f t="shared" si="10"/>
        <v>4000</v>
      </c>
      <c r="AW131" s="32"/>
      <c r="AX131" s="28">
        <v>3522</v>
      </c>
      <c r="AY131" s="29">
        <f t="shared" si="9"/>
        <v>-478</v>
      </c>
      <c r="AZ131" s="25"/>
      <c r="BA131" s="30">
        <v>4000</v>
      </c>
    </row>
    <row r="132" spans="1:53" ht="12.75" hidden="1">
      <c r="A132" s="395"/>
      <c r="B132" s="376" t="s">
        <v>90</v>
      </c>
      <c r="C132" s="377"/>
      <c r="D132" s="377"/>
      <c r="E132" s="378"/>
      <c r="F132" s="379" t="s">
        <v>257</v>
      </c>
      <c r="G132" s="380"/>
      <c r="H132" s="380"/>
      <c r="I132" s="380"/>
      <c r="J132" s="374" t="s">
        <v>258</v>
      </c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87"/>
      <c r="AF132" s="369" t="s">
        <v>336</v>
      </c>
      <c r="AG132" s="370"/>
      <c r="AH132" s="370"/>
      <c r="AI132" s="371"/>
      <c r="AJ132" s="370" t="s">
        <v>336</v>
      </c>
      <c r="AK132" s="370"/>
      <c r="AL132" s="370"/>
      <c r="AM132" s="370"/>
      <c r="AN132" s="369" t="s">
        <v>337</v>
      </c>
      <c r="AO132" s="370"/>
      <c r="AP132" s="370"/>
      <c r="AQ132" s="371"/>
      <c r="AR132" s="24"/>
      <c r="AS132" s="65">
        <v>83000</v>
      </c>
      <c r="AT132" s="55">
        <v>83000</v>
      </c>
      <c r="AU132" s="55">
        <v>50000</v>
      </c>
      <c r="AV132" s="56">
        <f t="shared" si="10"/>
        <v>133000</v>
      </c>
      <c r="AW132" s="32"/>
      <c r="AX132" s="28">
        <v>130709.68</v>
      </c>
      <c r="AY132" s="29">
        <f t="shared" si="9"/>
        <v>-2290.320000000007</v>
      </c>
      <c r="AZ132" s="25"/>
      <c r="BA132" s="30">
        <f>83000-23000</f>
        <v>60000</v>
      </c>
    </row>
    <row r="133" spans="1:53" ht="12.75" hidden="1">
      <c r="A133" s="395"/>
      <c r="B133" s="376" t="s">
        <v>90</v>
      </c>
      <c r="C133" s="377"/>
      <c r="D133" s="377"/>
      <c r="E133" s="378"/>
      <c r="F133" s="379" t="s">
        <v>259</v>
      </c>
      <c r="G133" s="380"/>
      <c r="H133" s="380"/>
      <c r="I133" s="380"/>
      <c r="J133" s="374" t="s">
        <v>260</v>
      </c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87"/>
      <c r="AF133" s="369" t="s">
        <v>308</v>
      </c>
      <c r="AG133" s="370"/>
      <c r="AH133" s="370"/>
      <c r="AI133" s="371"/>
      <c r="AJ133" s="370" t="s">
        <v>308</v>
      </c>
      <c r="AK133" s="370"/>
      <c r="AL133" s="370"/>
      <c r="AM133" s="370"/>
      <c r="AN133" s="369" t="s">
        <v>338</v>
      </c>
      <c r="AO133" s="370"/>
      <c r="AP133" s="370"/>
      <c r="AQ133" s="371"/>
      <c r="AR133" s="24"/>
      <c r="AS133" s="65">
        <v>103000</v>
      </c>
      <c r="AT133" s="55">
        <v>103000</v>
      </c>
      <c r="AU133" s="55">
        <v>-50000</v>
      </c>
      <c r="AV133" s="56">
        <f t="shared" si="10"/>
        <v>53000</v>
      </c>
      <c r="AW133" s="32"/>
      <c r="AX133" s="28">
        <v>48441.1</v>
      </c>
      <c r="AY133" s="29">
        <f t="shared" si="9"/>
        <v>-4558.9000000000015</v>
      </c>
      <c r="AZ133" s="25"/>
      <c r="BA133" s="30">
        <f>103000-43000</f>
        <v>60000</v>
      </c>
    </row>
    <row r="134" spans="1:53" ht="12.75" hidden="1">
      <c r="A134" s="395"/>
      <c r="B134" s="376" t="s">
        <v>90</v>
      </c>
      <c r="C134" s="377"/>
      <c r="D134" s="377"/>
      <c r="E134" s="378"/>
      <c r="F134" s="379" t="s">
        <v>205</v>
      </c>
      <c r="G134" s="380"/>
      <c r="H134" s="380"/>
      <c r="I134" s="380"/>
      <c r="J134" s="374" t="s">
        <v>206</v>
      </c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  <c r="AD134" s="374"/>
      <c r="AE134" s="387"/>
      <c r="AF134" s="369" t="s">
        <v>26</v>
      </c>
      <c r="AG134" s="370"/>
      <c r="AH134" s="370"/>
      <c r="AI134" s="371"/>
      <c r="AJ134" s="370" t="s">
        <v>26</v>
      </c>
      <c r="AK134" s="370"/>
      <c r="AL134" s="370"/>
      <c r="AM134" s="370"/>
      <c r="AN134" s="369"/>
      <c r="AO134" s="370"/>
      <c r="AP134" s="370"/>
      <c r="AQ134" s="371"/>
      <c r="AR134" s="24"/>
      <c r="AS134" s="65">
        <v>10000</v>
      </c>
      <c r="AT134" s="55">
        <v>10000</v>
      </c>
      <c r="AU134" s="55">
        <v>-8000</v>
      </c>
      <c r="AV134" s="56">
        <f t="shared" si="10"/>
        <v>2000</v>
      </c>
      <c r="AW134" s="32"/>
      <c r="AX134" s="28"/>
      <c r="AY134" s="29">
        <f t="shared" si="9"/>
        <v>-2000</v>
      </c>
      <c r="AZ134" s="25"/>
      <c r="BA134" s="30">
        <f>10000-5000</f>
        <v>5000</v>
      </c>
    </row>
    <row r="135" spans="1:53" ht="12.75" hidden="1">
      <c r="A135" s="395"/>
      <c r="B135" s="376" t="s">
        <v>90</v>
      </c>
      <c r="C135" s="377"/>
      <c r="D135" s="377"/>
      <c r="E135" s="378"/>
      <c r="F135" s="379" t="s">
        <v>208</v>
      </c>
      <c r="G135" s="380"/>
      <c r="H135" s="380"/>
      <c r="I135" s="380"/>
      <c r="J135" s="374" t="s">
        <v>209</v>
      </c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87"/>
      <c r="AF135" s="369" t="s">
        <v>339</v>
      </c>
      <c r="AG135" s="370"/>
      <c r="AH135" s="370"/>
      <c r="AI135" s="371"/>
      <c r="AJ135" s="370" t="s">
        <v>339</v>
      </c>
      <c r="AK135" s="370"/>
      <c r="AL135" s="370"/>
      <c r="AM135" s="370"/>
      <c r="AN135" s="369" t="s">
        <v>340</v>
      </c>
      <c r="AO135" s="370"/>
      <c r="AP135" s="370"/>
      <c r="AQ135" s="371"/>
      <c r="AR135" s="24"/>
      <c r="AS135" s="65">
        <v>98000</v>
      </c>
      <c r="AT135" s="55">
        <v>98000</v>
      </c>
      <c r="AU135" s="55">
        <f>AV135-AT135</f>
        <v>28000</v>
      </c>
      <c r="AV135" s="55">
        <f>98000+28000</f>
        <v>126000</v>
      </c>
      <c r="AW135" s="27"/>
      <c r="AX135" s="28">
        <v>125692</v>
      </c>
      <c r="AY135" s="29">
        <f t="shared" si="9"/>
        <v>-308</v>
      </c>
      <c r="AZ135" s="25"/>
      <c r="BA135" s="30">
        <v>98000</v>
      </c>
    </row>
    <row r="136" spans="1:53" ht="12.75" hidden="1">
      <c r="A136" s="395"/>
      <c r="B136" s="376" t="s">
        <v>90</v>
      </c>
      <c r="C136" s="377"/>
      <c r="D136" s="377"/>
      <c r="E136" s="378"/>
      <c r="F136" s="379" t="s">
        <v>159</v>
      </c>
      <c r="G136" s="380"/>
      <c r="H136" s="380"/>
      <c r="I136" s="380"/>
      <c r="J136" s="374" t="s">
        <v>160</v>
      </c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87"/>
      <c r="AF136" s="369" t="s">
        <v>341</v>
      </c>
      <c r="AG136" s="370"/>
      <c r="AH136" s="370"/>
      <c r="AI136" s="371"/>
      <c r="AJ136" s="370" t="s">
        <v>341</v>
      </c>
      <c r="AK136" s="370"/>
      <c r="AL136" s="370"/>
      <c r="AM136" s="370"/>
      <c r="AN136" s="369" t="s">
        <v>342</v>
      </c>
      <c r="AO136" s="370"/>
      <c r="AP136" s="370"/>
      <c r="AQ136" s="371"/>
      <c r="AR136" s="24"/>
      <c r="AS136" s="65">
        <v>35000</v>
      </c>
      <c r="AT136" s="55">
        <v>35000</v>
      </c>
      <c r="AU136" s="55">
        <f>AV136-AT136</f>
        <v>95000</v>
      </c>
      <c r="AV136" s="55">
        <f>35000+95000</f>
        <v>130000</v>
      </c>
      <c r="AW136" s="27"/>
      <c r="AX136" s="28">
        <v>130093</v>
      </c>
      <c r="AY136" s="29">
        <f t="shared" si="9"/>
        <v>93</v>
      </c>
      <c r="AZ136" s="25"/>
      <c r="BA136" s="30">
        <v>35000</v>
      </c>
    </row>
    <row r="137" spans="1:53" ht="12.75" hidden="1">
      <c r="A137" s="395"/>
      <c r="B137" s="376" t="s">
        <v>90</v>
      </c>
      <c r="C137" s="377"/>
      <c r="D137" s="377"/>
      <c r="E137" s="378"/>
      <c r="F137" s="379" t="s">
        <v>272</v>
      </c>
      <c r="G137" s="380"/>
      <c r="H137" s="380"/>
      <c r="I137" s="380"/>
      <c r="J137" s="374" t="s">
        <v>273</v>
      </c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87"/>
      <c r="AF137" s="369" t="s">
        <v>274</v>
      </c>
      <c r="AG137" s="370"/>
      <c r="AH137" s="370"/>
      <c r="AI137" s="371"/>
      <c r="AJ137" s="370" t="s">
        <v>274</v>
      </c>
      <c r="AK137" s="370"/>
      <c r="AL137" s="370"/>
      <c r="AM137" s="370"/>
      <c r="AN137" s="369" t="s">
        <v>343</v>
      </c>
      <c r="AO137" s="370"/>
      <c r="AP137" s="370"/>
      <c r="AQ137" s="371"/>
      <c r="AR137" s="24"/>
      <c r="AS137" s="65">
        <v>26000</v>
      </c>
      <c r="AT137" s="55">
        <v>26000</v>
      </c>
      <c r="AU137" s="55"/>
      <c r="AV137" s="56">
        <f>AT137+AU137</f>
        <v>26000</v>
      </c>
      <c r="AW137" s="32"/>
      <c r="AX137" s="28">
        <v>21572.56</v>
      </c>
      <c r="AY137" s="29">
        <f t="shared" si="9"/>
        <v>-4427.439999999999</v>
      </c>
      <c r="AZ137" s="25"/>
      <c r="BA137" s="30">
        <v>26000</v>
      </c>
    </row>
    <row r="138" spans="1:53" ht="12.75" hidden="1">
      <c r="A138" s="395"/>
      <c r="B138" s="376" t="s">
        <v>90</v>
      </c>
      <c r="C138" s="377"/>
      <c r="D138" s="377"/>
      <c r="E138" s="378"/>
      <c r="F138" s="379" t="s">
        <v>162</v>
      </c>
      <c r="G138" s="380"/>
      <c r="H138" s="380"/>
      <c r="I138" s="380"/>
      <c r="J138" s="374" t="s">
        <v>163</v>
      </c>
      <c r="K138" s="374"/>
      <c r="L138" s="374"/>
      <c r="M138" s="374"/>
      <c r="N138" s="374"/>
      <c r="O138" s="374"/>
      <c r="P138" s="374"/>
      <c r="Q138" s="374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  <c r="AC138" s="374"/>
      <c r="AD138" s="374"/>
      <c r="AE138" s="387"/>
      <c r="AF138" s="369" t="s">
        <v>344</v>
      </c>
      <c r="AG138" s="370"/>
      <c r="AH138" s="370"/>
      <c r="AI138" s="371"/>
      <c r="AJ138" s="370" t="s">
        <v>193</v>
      </c>
      <c r="AK138" s="370"/>
      <c r="AL138" s="370"/>
      <c r="AM138" s="370"/>
      <c r="AN138" s="369" t="s">
        <v>345</v>
      </c>
      <c r="AO138" s="370"/>
      <c r="AP138" s="370"/>
      <c r="AQ138" s="371"/>
      <c r="AR138" s="24"/>
      <c r="AS138" s="65">
        <v>8000</v>
      </c>
      <c r="AT138" s="55">
        <v>16000</v>
      </c>
      <c r="AU138" s="55"/>
      <c r="AV138" s="56">
        <f>AT138+AU138</f>
        <v>16000</v>
      </c>
      <c r="AW138" s="32"/>
      <c r="AX138" s="28">
        <v>12600</v>
      </c>
      <c r="AY138" s="29">
        <f t="shared" si="9"/>
        <v>-3400</v>
      </c>
      <c r="AZ138" s="25"/>
      <c r="BA138" s="30">
        <v>8000</v>
      </c>
    </row>
    <row r="139" spans="1:53" ht="12.75" hidden="1">
      <c r="A139" s="395"/>
      <c r="B139" s="376" t="s">
        <v>90</v>
      </c>
      <c r="C139" s="377"/>
      <c r="D139" s="377"/>
      <c r="E139" s="378"/>
      <c r="F139" s="379" t="s">
        <v>276</v>
      </c>
      <c r="G139" s="380"/>
      <c r="H139" s="380"/>
      <c r="I139" s="380"/>
      <c r="J139" s="374" t="s">
        <v>277</v>
      </c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87"/>
      <c r="AF139" s="369" t="s">
        <v>252</v>
      </c>
      <c r="AG139" s="370"/>
      <c r="AH139" s="370"/>
      <c r="AI139" s="371"/>
      <c r="AJ139" s="370" t="s">
        <v>252</v>
      </c>
      <c r="AK139" s="370"/>
      <c r="AL139" s="370"/>
      <c r="AM139" s="370"/>
      <c r="AN139" s="369" t="s">
        <v>346</v>
      </c>
      <c r="AO139" s="370"/>
      <c r="AP139" s="370"/>
      <c r="AQ139" s="371"/>
      <c r="AR139" s="24"/>
      <c r="AS139" s="65">
        <v>3000</v>
      </c>
      <c r="AT139" s="55">
        <v>3000</v>
      </c>
      <c r="AU139" s="55"/>
      <c r="AV139" s="56">
        <f>AT139+AU139</f>
        <v>3000</v>
      </c>
      <c r="AW139" s="32"/>
      <c r="AX139" s="28">
        <v>720</v>
      </c>
      <c r="AY139" s="29">
        <f t="shared" si="9"/>
        <v>-2280</v>
      </c>
      <c r="AZ139" s="25"/>
      <c r="BA139" s="30">
        <v>3000</v>
      </c>
    </row>
    <row r="140" spans="1:53" ht="12.75" hidden="1">
      <c r="A140" s="395"/>
      <c r="B140" s="376" t="s">
        <v>90</v>
      </c>
      <c r="C140" s="377"/>
      <c r="D140" s="377"/>
      <c r="E140" s="378"/>
      <c r="F140" s="379" t="s">
        <v>142</v>
      </c>
      <c r="G140" s="380"/>
      <c r="H140" s="380"/>
      <c r="I140" s="380"/>
      <c r="J140" s="374" t="s">
        <v>143</v>
      </c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87"/>
      <c r="AF140" s="369" t="s">
        <v>347</v>
      </c>
      <c r="AG140" s="370"/>
      <c r="AH140" s="370"/>
      <c r="AI140" s="371"/>
      <c r="AJ140" s="370" t="s">
        <v>348</v>
      </c>
      <c r="AK140" s="370"/>
      <c r="AL140" s="370"/>
      <c r="AM140" s="370"/>
      <c r="AN140" s="369" t="s">
        <v>349</v>
      </c>
      <c r="AO140" s="370"/>
      <c r="AP140" s="370"/>
      <c r="AQ140" s="371"/>
      <c r="AR140" s="24"/>
      <c r="AS140" s="65">
        <v>467000</v>
      </c>
      <c r="AT140" s="55">
        <v>516500</v>
      </c>
      <c r="AU140" s="55">
        <f>10500*0+24000</f>
        <v>24000</v>
      </c>
      <c r="AV140" s="56">
        <f>AT140+AU140</f>
        <v>540500</v>
      </c>
      <c r="AW140" s="32"/>
      <c r="AX140" s="28">
        <v>523754.68</v>
      </c>
      <c r="AY140" s="29">
        <f t="shared" si="9"/>
        <v>-16745.320000000007</v>
      </c>
      <c r="AZ140" s="25"/>
      <c r="BA140" s="30">
        <v>467000</v>
      </c>
    </row>
    <row r="141" spans="1:53" ht="12.75" hidden="1">
      <c r="A141" s="395"/>
      <c r="B141" s="376" t="s">
        <v>90</v>
      </c>
      <c r="C141" s="377"/>
      <c r="D141" s="377"/>
      <c r="E141" s="378"/>
      <c r="F141" s="379" t="s">
        <v>146</v>
      </c>
      <c r="G141" s="380"/>
      <c r="H141" s="380"/>
      <c r="I141" s="380"/>
      <c r="J141" s="374" t="s">
        <v>147</v>
      </c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87"/>
      <c r="AF141" s="369" t="s">
        <v>350</v>
      </c>
      <c r="AG141" s="370"/>
      <c r="AH141" s="370"/>
      <c r="AI141" s="371"/>
      <c r="AJ141" s="370" t="s">
        <v>351</v>
      </c>
      <c r="AK141" s="370"/>
      <c r="AL141" s="370"/>
      <c r="AM141" s="370"/>
      <c r="AN141" s="369" t="s">
        <v>352</v>
      </c>
      <c r="AO141" s="370"/>
      <c r="AP141" s="370"/>
      <c r="AQ141" s="371"/>
      <c r="AR141" s="24"/>
      <c r="AS141" s="65">
        <v>340000</v>
      </c>
      <c r="AT141" s="55">
        <v>278000</v>
      </c>
      <c r="AU141" s="55">
        <f>AV141-AT141</f>
        <v>-251000</v>
      </c>
      <c r="AV141" s="55">
        <f>278000-248000-3000</f>
        <v>27000</v>
      </c>
      <c r="AW141" s="27"/>
      <c r="AX141" s="28">
        <v>26648</v>
      </c>
      <c r="AY141" s="29">
        <f t="shared" si="9"/>
        <v>-352</v>
      </c>
      <c r="AZ141" s="25"/>
      <c r="BA141" s="30">
        <f>340000-240000</f>
        <v>100000</v>
      </c>
    </row>
    <row r="142" spans="1:53" ht="12.75" hidden="1">
      <c r="A142" s="395"/>
      <c r="B142" s="376" t="s">
        <v>90</v>
      </c>
      <c r="C142" s="377"/>
      <c r="D142" s="377"/>
      <c r="E142" s="378"/>
      <c r="F142" s="379" t="s">
        <v>353</v>
      </c>
      <c r="G142" s="380"/>
      <c r="H142" s="380"/>
      <c r="I142" s="380"/>
      <c r="J142" s="374" t="s">
        <v>354</v>
      </c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  <c r="AD142" s="374"/>
      <c r="AE142" s="387"/>
      <c r="AF142" s="369" t="s">
        <v>261</v>
      </c>
      <c r="AG142" s="370"/>
      <c r="AH142" s="370"/>
      <c r="AI142" s="371"/>
      <c r="AJ142" s="370" t="s">
        <v>261</v>
      </c>
      <c r="AK142" s="370"/>
      <c r="AL142" s="370"/>
      <c r="AM142" s="370"/>
      <c r="AN142" s="369" t="s">
        <v>355</v>
      </c>
      <c r="AO142" s="370"/>
      <c r="AP142" s="370"/>
      <c r="AQ142" s="371"/>
      <c r="AR142" s="24"/>
      <c r="AS142" s="65">
        <v>2000</v>
      </c>
      <c r="AT142" s="55">
        <v>2000</v>
      </c>
      <c r="AU142" s="55"/>
      <c r="AV142" s="56">
        <f>AT142+AU142</f>
        <v>2000</v>
      </c>
      <c r="AW142" s="32"/>
      <c r="AX142" s="28">
        <v>2509</v>
      </c>
      <c r="AY142" s="29">
        <f t="shared" si="9"/>
        <v>509</v>
      </c>
      <c r="AZ142" s="25"/>
      <c r="BA142" s="30">
        <v>2000</v>
      </c>
    </row>
    <row r="143" spans="1:53" ht="12.75" hidden="1">
      <c r="A143" s="395"/>
      <c r="B143" s="376" t="s">
        <v>90</v>
      </c>
      <c r="C143" s="377"/>
      <c r="D143" s="377"/>
      <c r="E143" s="378"/>
      <c r="F143" s="379" t="s">
        <v>284</v>
      </c>
      <c r="G143" s="380"/>
      <c r="H143" s="380"/>
      <c r="I143" s="380"/>
      <c r="J143" s="374" t="s">
        <v>285</v>
      </c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87"/>
      <c r="AF143" s="369"/>
      <c r="AG143" s="370"/>
      <c r="AH143" s="370"/>
      <c r="AI143" s="371"/>
      <c r="AJ143" s="370"/>
      <c r="AK143" s="370"/>
      <c r="AL143" s="370"/>
      <c r="AM143" s="370"/>
      <c r="AN143" s="369" t="s">
        <v>261</v>
      </c>
      <c r="AO143" s="370"/>
      <c r="AP143" s="370"/>
      <c r="AQ143" s="371"/>
      <c r="AR143" s="24"/>
      <c r="AS143" s="65"/>
      <c r="AT143" s="55"/>
      <c r="AU143" s="55"/>
      <c r="AV143" s="56">
        <f>AT143+AU143</f>
        <v>0</v>
      </c>
      <c r="AW143" s="32"/>
      <c r="AX143" s="28">
        <v>2000</v>
      </c>
      <c r="AY143" s="29">
        <f t="shared" si="9"/>
        <v>2000</v>
      </c>
      <c r="AZ143" s="25"/>
      <c r="BA143" s="30"/>
    </row>
    <row r="144" spans="1:53" ht="12.75" hidden="1">
      <c r="A144" s="395"/>
      <c r="B144" s="376" t="s">
        <v>90</v>
      </c>
      <c r="C144" s="377"/>
      <c r="D144" s="377"/>
      <c r="E144" s="378"/>
      <c r="F144" s="379" t="s">
        <v>286</v>
      </c>
      <c r="G144" s="380"/>
      <c r="H144" s="380"/>
      <c r="I144" s="380"/>
      <c r="J144" s="374" t="s">
        <v>287</v>
      </c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374"/>
      <c r="AD144" s="374"/>
      <c r="AE144" s="387"/>
      <c r="AF144" s="369" t="s">
        <v>263</v>
      </c>
      <c r="AG144" s="370"/>
      <c r="AH144" s="370"/>
      <c r="AI144" s="371"/>
      <c r="AJ144" s="370" t="s">
        <v>263</v>
      </c>
      <c r="AK144" s="370"/>
      <c r="AL144" s="370"/>
      <c r="AM144" s="370"/>
      <c r="AN144" s="369"/>
      <c r="AO144" s="370"/>
      <c r="AP144" s="370"/>
      <c r="AQ144" s="371"/>
      <c r="AR144" s="24"/>
      <c r="AS144" s="65">
        <v>4000</v>
      </c>
      <c r="AT144" s="55">
        <v>4000</v>
      </c>
      <c r="AU144" s="55">
        <v>-4000</v>
      </c>
      <c r="AV144" s="56">
        <f>AT144+AU144</f>
        <v>0</v>
      </c>
      <c r="AW144" s="32"/>
      <c r="AX144" s="28"/>
      <c r="AY144" s="29">
        <f t="shared" si="9"/>
        <v>0</v>
      </c>
      <c r="AZ144" s="25"/>
      <c r="BA144" s="30">
        <f>4000*0</f>
        <v>0</v>
      </c>
    </row>
    <row r="145" spans="1:53" s="2" customFormat="1" ht="12.75">
      <c r="A145" s="395"/>
      <c r="B145" s="382" t="s">
        <v>90</v>
      </c>
      <c r="C145" s="383"/>
      <c r="D145" s="383"/>
      <c r="E145" s="384"/>
      <c r="F145" s="396" t="s">
        <v>93</v>
      </c>
      <c r="G145" s="385"/>
      <c r="H145" s="385"/>
      <c r="I145" s="385"/>
      <c r="J145" s="385"/>
      <c r="K145" s="385"/>
      <c r="L145" s="385"/>
      <c r="M145" s="385"/>
      <c r="N145" s="385"/>
      <c r="O145" s="385"/>
      <c r="P145" s="385"/>
      <c r="Q145" s="385"/>
      <c r="R145" s="385"/>
      <c r="S145" s="385"/>
      <c r="T145" s="385"/>
      <c r="U145" s="385"/>
      <c r="V145" s="385"/>
      <c r="W145" s="385"/>
      <c r="X145" s="385"/>
      <c r="Y145" s="385"/>
      <c r="Z145" s="385"/>
      <c r="AA145" s="385"/>
      <c r="AB145" s="385"/>
      <c r="AC145" s="385"/>
      <c r="AD145" s="385"/>
      <c r="AE145" s="397"/>
      <c r="AF145" s="389" t="s">
        <v>356</v>
      </c>
      <c r="AG145" s="390"/>
      <c r="AH145" s="390"/>
      <c r="AI145" s="391"/>
      <c r="AJ145" s="390" t="s">
        <v>357</v>
      </c>
      <c r="AK145" s="390"/>
      <c r="AL145" s="390"/>
      <c r="AM145" s="390"/>
      <c r="AN145" s="389" t="s">
        <v>358</v>
      </c>
      <c r="AO145" s="390"/>
      <c r="AP145" s="390"/>
      <c r="AQ145" s="391"/>
      <c r="AR145" s="43"/>
      <c r="AS145" s="64">
        <f>SUM(AS127:AS144)</f>
        <v>1963000</v>
      </c>
      <c r="AT145" s="57">
        <f>SUM(AT127:AT144)</f>
        <v>1958500</v>
      </c>
      <c r="AU145" s="57">
        <f>SUM(AU127:AU144)+130000</f>
        <v>0</v>
      </c>
      <c r="AV145" s="57">
        <f>SUM(AV127:AV144)</f>
        <v>1828500</v>
      </c>
      <c r="AW145" s="33">
        <f>AV145-AT145</f>
        <v>-130000</v>
      </c>
      <c r="AX145" s="34">
        <f>SUM(AX127:AX144)</f>
        <v>1817144.0199999998</v>
      </c>
      <c r="AY145" s="35">
        <f>SUM(AY127:AY144)</f>
        <v>-11355.980000000014</v>
      </c>
      <c r="AZ145" s="44"/>
      <c r="BA145" s="36">
        <f>SUM(BA127:BA144)</f>
        <v>1674000</v>
      </c>
    </row>
    <row r="146" spans="1:53" ht="21.75" customHeight="1" hidden="1">
      <c r="A146" s="22"/>
      <c r="B146" s="376" t="s">
        <v>359</v>
      </c>
      <c r="C146" s="377"/>
      <c r="D146" s="377"/>
      <c r="E146" s="378"/>
      <c r="F146" s="402" t="s">
        <v>360</v>
      </c>
      <c r="G146" s="403"/>
      <c r="H146" s="403"/>
      <c r="I146" s="403"/>
      <c r="J146" s="374" t="s">
        <v>701</v>
      </c>
      <c r="K146" s="374"/>
      <c r="L146" s="374"/>
      <c r="M146" s="374"/>
      <c r="N146" s="374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87"/>
      <c r="AF146" s="369"/>
      <c r="AG146" s="370"/>
      <c r="AH146" s="370"/>
      <c r="AI146" s="371"/>
      <c r="AJ146" s="370" t="s">
        <v>362</v>
      </c>
      <c r="AK146" s="370"/>
      <c r="AL146" s="370"/>
      <c r="AM146" s="370"/>
      <c r="AN146" s="369"/>
      <c r="AO146" s="370"/>
      <c r="AP146" s="370"/>
      <c r="AQ146" s="371"/>
      <c r="AR146" s="24"/>
      <c r="AS146" s="65"/>
      <c r="AT146" s="55">
        <v>138100</v>
      </c>
      <c r="AU146" s="55">
        <f>-138100*0</f>
        <v>0</v>
      </c>
      <c r="AV146" s="56">
        <f>AT146+AU146</f>
        <v>138100</v>
      </c>
      <c r="AW146" s="32"/>
      <c r="AX146" s="28"/>
      <c r="AY146" s="29">
        <f>AX146-AV146</f>
        <v>-138100</v>
      </c>
      <c r="AZ146" s="25"/>
      <c r="BA146" s="30"/>
    </row>
    <row r="147" spans="1:53" ht="21.75" customHeight="1" hidden="1">
      <c r="A147" s="22"/>
      <c r="B147" s="376" t="s">
        <v>359</v>
      </c>
      <c r="C147" s="377"/>
      <c r="D147" s="377"/>
      <c r="E147" s="378"/>
      <c r="F147" s="402" t="s">
        <v>363</v>
      </c>
      <c r="G147" s="403"/>
      <c r="H147" s="403"/>
      <c r="I147" s="403"/>
      <c r="J147" s="374" t="s">
        <v>702</v>
      </c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87"/>
      <c r="AF147" s="369"/>
      <c r="AG147" s="370"/>
      <c r="AH147" s="370"/>
      <c r="AI147" s="371"/>
      <c r="AJ147" s="370" t="s">
        <v>365</v>
      </c>
      <c r="AK147" s="370"/>
      <c r="AL147" s="370"/>
      <c r="AM147" s="370"/>
      <c r="AN147" s="369" t="s">
        <v>366</v>
      </c>
      <c r="AO147" s="370"/>
      <c r="AP147" s="370"/>
      <c r="AQ147" s="371"/>
      <c r="AR147" s="24"/>
      <c r="AS147" s="65"/>
      <c r="AT147" s="55">
        <v>11500</v>
      </c>
      <c r="AU147" s="55">
        <f>94500*0*98/98</f>
        <v>0</v>
      </c>
      <c r="AV147" s="56">
        <f>AT147+AU147</f>
        <v>11500</v>
      </c>
      <c r="AW147" s="32"/>
      <c r="AX147" s="28">
        <v>106000</v>
      </c>
      <c r="AY147" s="29">
        <f>AX147-AV147</f>
        <v>94500</v>
      </c>
      <c r="AZ147" s="25"/>
      <c r="BA147" s="30"/>
    </row>
    <row r="148" spans="1:53" ht="21.75" customHeight="1" hidden="1">
      <c r="A148" s="22"/>
      <c r="B148" s="376" t="s">
        <v>359</v>
      </c>
      <c r="C148" s="377"/>
      <c r="D148" s="377"/>
      <c r="E148" s="378"/>
      <c r="F148" s="402" t="s">
        <v>367</v>
      </c>
      <c r="G148" s="403"/>
      <c r="H148" s="403"/>
      <c r="I148" s="403"/>
      <c r="J148" s="374" t="s">
        <v>703</v>
      </c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87"/>
      <c r="AF148" s="369"/>
      <c r="AG148" s="370"/>
      <c r="AH148" s="370"/>
      <c r="AI148" s="371"/>
      <c r="AJ148" s="370"/>
      <c r="AK148" s="370"/>
      <c r="AL148" s="370"/>
      <c r="AM148" s="370"/>
      <c r="AN148" s="369" t="s">
        <v>369</v>
      </c>
      <c r="AO148" s="370"/>
      <c r="AP148" s="370"/>
      <c r="AQ148" s="371"/>
      <c r="AR148" s="24"/>
      <c r="AS148" s="65"/>
      <c r="AT148" s="55"/>
      <c r="AU148" s="55"/>
      <c r="AV148" s="56">
        <f>AT148+AU148</f>
        <v>0</v>
      </c>
      <c r="AW148" s="32"/>
      <c r="AX148" s="28">
        <v>9300</v>
      </c>
      <c r="AY148" s="29">
        <f>AX148-AV148</f>
        <v>9300</v>
      </c>
      <c r="AZ148" s="25"/>
      <c r="BA148" s="30"/>
    </row>
    <row r="149" spans="1:53" ht="21.75" customHeight="1" hidden="1">
      <c r="A149" s="22"/>
      <c r="B149" s="376" t="s">
        <v>359</v>
      </c>
      <c r="C149" s="377"/>
      <c r="D149" s="377"/>
      <c r="E149" s="378"/>
      <c r="F149" s="402" t="s">
        <v>370</v>
      </c>
      <c r="G149" s="403"/>
      <c r="H149" s="403"/>
      <c r="I149" s="403"/>
      <c r="J149" s="374" t="s">
        <v>704</v>
      </c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87"/>
      <c r="AF149" s="369"/>
      <c r="AG149" s="370"/>
      <c r="AH149" s="370"/>
      <c r="AI149" s="371"/>
      <c r="AJ149" s="370" t="s">
        <v>372</v>
      </c>
      <c r="AK149" s="370"/>
      <c r="AL149" s="370"/>
      <c r="AM149" s="370"/>
      <c r="AN149" s="369" t="s">
        <v>373</v>
      </c>
      <c r="AO149" s="370"/>
      <c r="AP149" s="370"/>
      <c r="AQ149" s="371"/>
      <c r="AR149" s="24"/>
      <c r="AS149" s="65"/>
      <c r="AT149" s="55">
        <v>180500</v>
      </c>
      <c r="AU149" s="55">
        <v>740500</v>
      </c>
      <c r="AV149" s="56">
        <f>AT149+AU149</f>
        <v>921000</v>
      </c>
      <c r="AW149" s="32"/>
      <c r="AX149" s="28">
        <v>920803</v>
      </c>
      <c r="AY149" s="29">
        <f>AX149-AV149</f>
        <v>-197</v>
      </c>
      <c r="AZ149" s="25"/>
      <c r="BA149" s="30"/>
    </row>
    <row r="150" spans="1:53" s="2" customFormat="1" ht="21.75" customHeight="1">
      <c r="A150" s="45"/>
      <c r="B150" s="382" t="s">
        <v>359</v>
      </c>
      <c r="C150" s="383"/>
      <c r="D150" s="383"/>
      <c r="E150" s="384"/>
      <c r="F150" s="396" t="s">
        <v>707</v>
      </c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385"/>
      <c r="V150" s="385"/>
      <c r="W150" s="385"/>
      <c r="X150" s="385"/>
      <c r="Y150" s="385"/>
      <c r="Z150" s="385"/>
      <c r="AA150" s="385"/>
      <c r="AB150" s="385"/>
      <c r="AC150" s="385"/>
      <c r="AD150" s="385"/>
      <c r="AE150" s="397"/>
      <c r="AF150" s="389"/>
      <c r="AG150" s="390"/>
      <c r="AH150" s="390"/>
      <c r="AI150" s="391"/>
      <c r="AJ150" s="390" t="s">
        <v>374</v>
      </c>
      <c r="AK150" s="390"/>
      <c r="AL150" s="390"/>
      <c r="AM150" s="390"/>
      <c r="AN150" s="389" t="s">
        <v>375</v>
      </c>
      <c r="AO150" s="390"/>
      <c r="AP150" s="390"/>
      <c r="AQ150" s="391"/>
      <c r="AR150" s="43"/>
      <c r="AS150" s="64">
        <f>SUM(AS146:AS149)</f>
        <v>0</v>
      </c>
      <c r="AT150" s="57">
        <f>SUM(AT146:AT149)</f>
        <v>330100</v>
      </c>
      <c r="AU150" s="57">
        <f>SUM(AU146:AU149)-740500</f>
        <v>0</v>
      </c>
      <c r="AV150" s="57">
        <f>SUM(AV146:AV149)</f>
        <v>1070600</v>
      </c>
      <c r="AW150" s="33">
        <f>AV150-AT150</f>
        <v>740500</v>
      </c>
      <c r="AX150" s="34">
        <f>SUM(AX146:AX149)</f>
        <v>1036103</v>
      </c>
      <c r="AY150" s="35">
        <f>SUM(AY146:AY149)</f>
        <v>-34497</v>
      </c>
      <c r="AZ150" s="44"/>
      <c r="BA150" s="36">
        <f>SUM(BA146:BA149)</f>
        <v>0</v>
      </c>
    </row>
    <row r="151" spans="1:53" ht="12.75" hidden="1">
      <c r="A151" s="22"/>
      <c r="B151" s="376" t="s">
        <v>376</v>
      </c>
      <c r="C151" s="377"/>
      <c r="D151" s="377"/>
      <c r="E151" s="378"/>
      <c r="F151" s="379" t="s">
        <v>142</v>
      </c>
      <c r="G151" s="380"/>
      <c r="H151" s="380"/>
      <c r="I151" s="380"/>
      <c r="J151" s="374" t="s">
        <v>143</v>
      </c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87"/>
      <c r="AF151" s="369"/>
      <c r="AG151" s="370"/>
      <c r="AH151" s="370"/>
      <c r="AI151" s="371"/>
      <c r="AJ151" s="370" t="s">
        <v>377</v>
      </c>
      <c r="AK151" s="370"/>
      <c r="AL151" s="370"/>
      <c r="AM151" s="370"/>
      <c r="AN151" s="369" t="s">
        <v>378</v>
      </c>
      <c r="AO151" s="370"/>
      <c r="AP151" s="370"/>
      <c r="AQ151" s="371"/>
      <c r="AR151" s="24"/>
      <c r="AS151" s="65"/>
      <c r="AT151" s="55">
        <v>17000</v>
      </c>
      <c r="AU151" s="55"/>
      <c r="AV151" s="56">
        <f>AT151+AU151</f>
        <v>17000</v>
      </c>
      <c r="AW151" s="32"/>
      <c r="AX151" s="28">
        <v>17200</v>
      </c>
      <c r="AY151" s="29">
        <f>AX151-AV151</f>
        <v>200</v>
      </c>
      <c r="AZ151" s="25"/>
      <c r="BA151" s="30"/>
    </row>
    <row r="152" spans="1:53" ht="12.75" hidden="1">
      <c r="A152" s="22"/>
      <c r="B152" s="376" t="s">
        <v>376</v>
      </c>
      <c r="C152" s="377"/>
      <c r="D152" s="377"/>
      <c r="E152" s="378"/>
      <c r="F152" s="379" t="s">
        <v>146</v>
      </c>
      <c r="G152" s="380"/>
      <c r="H152" s="380"/>
      <c r="I152" s="380"/>
      <c r="J152" s="374" t="s">
        <v>147</v>
      </c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/>
      <c r="AD152" s="374"/>
      <c r="AE152" s="387"/>
      <c r="AF152" s="369" t="s">
        <v>125</v>
      </c>
      <c r="AG152" s="370"/>
      <c r="AH152" s="370"/>
      <c r="AI152" s="371"/>
      <c r="AJ152" s="370" t="s">
        <v>379</v>
      </c>
      <c r="AK152" s="370"/>
      <c r="AL152" s="370"/>
      <c r="AM152" s="370"/>
      <c r="AN152" s="369" t="s">
        <v>380</v>
      </c>
      <c r="AO152" s="370"/>
      <c r="AP152" s="370"/>
      <c r="AQ152" s="371"/>
      <c r="AR152" s="24"/>
      <c r="AS152" s="65">
        <v>100000</v>
      </c>
      <c r="AT152" s="55">
        <v>74000</v>
      </c>
      <c r="AU152" s="55">
        <f>AV152-AT152</f>
        <v>-62000</v>
      </c>
      <c r="AV152" s="55">
        <f>74000-60000-2000</f>
        <v>12000</v>
      </c>
      <c r="AW152" s="27"/>
      <c r="AX152" s="28">
        <v>12390</v>
      </c>
      <c r="AY152" s="29">
        <f>AX152-AV152</f>
        <v>390</v>
      </c>
      <c r="AZ152" s="25"/>
      <c r="BA152" s="30">
        <v>100000</v>
      </c>
    </row>
    <row r="153" spans="1:53" s="2" customFormat="1" ht="12.75">
      <c r="A153" s="45"/>
      <c r="B153" s="382" t="s">
        <v>376</v>
      </c>
      <c r="C153" s="383"/>
      <c r="D153" s="383"/>
      <c r="E153" s="384"/>
      <c r="F153" s="396" t="s">
        <v>381</v>
      </c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85"/>
      <c r="S153" s="385"/>
      <c r="T153" s="385"/>
      <c r="U153" s="385"/>
      <c r="V153" s="385"/>
      <c r="W153" s="385"/>
      <c r="X153" s="385"/>
      <c r="Y153" s="385"/>
      <c r="Z153" s="385"/>
      <c r="AA153" s="385"/>
      <c r="AB153" s="385"/>
      <c r="AC153" s="385"/>
      <c r="AD153" s="385"/>
      <c r="AE153" s="397"/>
      <c r="AF153" s="389" t="s">
        <v>125</v>
      </c>
      <c r="AG153" s="390"/>
      <c r="AH153" s="390"/>
      <c r="AI153" s="391"/>
      <c r="AJ153" s="390" t="s">
        <v>382</v>
      </c>
      <c r="AK153" s="390"/>
      <c r="AL153" s="390"/>
      <c r="AM153" s="390"/>
      <c r="AN153" s="389" t="s">
        <v>383</v>
      </c>
      <c r="AO153" s="390"/>
      <c r="AP153" s="390"/>
      <c r="AQ153" s="391"/>
      <c r="AR153" s="43"/>
      <c r="AS153" s="64">
        <f>SUM(AS151:AS152)</f>
        <v>100000</v>
      </c>
      <c r="AT153" s="57">
        <f>SUM(AT151:AT152)</f>
        <v>91000</v>
      </c>
      <c r="AU153" s="57">
        <f>SUM(AU151:AU152)+62000</f>
        <v>0</v>
      </c>
      <c r="AV153" s="57">
        <f>SUM(AV151:AV152)</f>
        <v>29000</v>
      </c>
      <c r="AW153" s="33">
        <f>AV153-AT153</f>
        <v>-62000</v>
      </c>
      <c r="AX153" s="34">
        <f>SUM(AX151:AX152)</f>
        <v>29590</v>
      </c>
      <c r="AY153" s="35">
        <f>SUM(AY151:AY152)</f>
        <v>590</v>
      </c>
      <c r="AZ153" s="44"/>
      <c r="BA153" s="36">
        <f>SUM(BA151:BA152)</f>
        <v>100000</v>
      </c>
    </row>
    <row r="154" spans="1:53" ht="12.75" hidden="1">
      <c r="A154" s="404">
        <v>5</v>
      </c>
      <c r="B154" s="376" t="s">
        <v>384</v>
      </c>
      <c r="C154" s="377"/>
      <c r="D154" s="377"/>
      <c r="E154" s="378"/>
      <c r="F154" s="379" t="s">
        <v>142</v>
      </c>
      <c r="G154" s="380"/>
      <c r="H154" s="380"/>
      <c r="I154" s="380"/>
      <c r="J154" s="374" t="s">
        <v>143</v>
      </c>
      <c r="K154" s="374"/>
      <c r="L154" s="374"/>
      <c r="M154" s="374"/>
      <c r="N154" s="374"/>
      <c r="O154" s="374"/>
      <c r="P154" s="374"/>
      <c r="Q154" s="374"/>
      <c r="R154" s="374"/>
      <c r="S154" s="374"/>
      <c r="T154" s="374"/>
      <c r="U154" s="374"/>
      <c r="V154" s="374"/>
      <c r="W154" s="374"/>
      <c r="X154" s="374"/>
      <c r="Y154" s="374"/>
      <c r="Z154" s="374"/>
      <c r="AA154" s="374"/>
      <c r="AB154" s="374"/>
      <c r="AC154" s="374"/>
      <c r="AD154" s="374"/>
      <c r="AE154" s="387"/>
      <c r="AF154" s="369"/>
      <c r="AG154" s="370"/>
      <c r="AH154" s="370"/>
      <c r="AI154" s="371"/>
      <c r="AJ154" s="370"/>
      <c r="AK154" s="370"/>
      <c r="AL154" s="370"/>
      <c r="AM154" s="370"/>
      <c r="AN154" s="369" t="s">
        <v>385</v>
      </c>
      <c r="AO154" s="370"/>
      <c r="AP154" s="370"/>
      <c r="AQ154" s="371"/>
      <c r="AR154" s="24"/>
      <c r="AS154" s="65"/>
      <c r="AT154" s="55"/>
      <c r="AU154" s="55">
        <v>2000</v>
      </c>
      <c r="AV154" s="56">
        <f>AT154+AU154</f>
        <v>2000</v>
      </c>
      <c r="AW154" s="32"/>
      <c r="AX154" s="28">
        <v>2019</v>
      </c>
      <c r="AY154" s="29">
        <f>AX154-AV154</f>
        <v>19</v>
      </c>
      <c r="AZ154" s="25"/>
      <c r="BA154" s="30"/>
    </row>
    <row r="155" spans="1:53" ht="12.75" hidden="1">
      <c r="A155" s="405"/>
      <c r="B155" s="376" t="s">
        <v>384</v>
      </c>
      <c r="C155" s="377"/>
      <c r="D155" s="377"/>
      <c r="E155" s="378"/>
      <c r="F155" s="379" t="s">
        <v>151</v>
      </c>
      <c r="G155" s="380"/>
      <c r="H155" s="380"/>
      <c r="I155" s="380"/>
      <c r="J155" s="374" t="s">
        <v>152</v>
      </c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  <c r="Y155" s="374"/>
      <c r="Z155" s="374"/>
      <c r="AA155" s="374"/>
      <c r="AB155" s="374"/>
      <c r="AC155" s="374"/>
      <c r="AD155" s="374"/>
      <c r="AE155" s="387"/>
      <c r="AF155" s="369"/>
      <c r="AG155" s="370"/>
      <c r="AH155" s="370"/>
      <c r="AI155" s="371"/>
      <c r="AJ155" s="370" t="s">
        <v>386</v>
      </c>
      <c r="AK155" s="370"/>
      <c r="AL155" s="370"/>
      <c r="AM155" s="370"/>
      <c r="AN155" s="369" t="s">
        <v>387</v>
      </c>
      <c r="AO155" s="370"/>
      <c r="AP155" s="370"/>
      <c r="AQ155" s="371"/>
      <c r="AR155" s="24"/>
      <c r="AS155" s="65"/>
      <c r="AT155" s="55">
        <v>1602000</v>
      </c>
      <c r="AU155" s="55">
        <v>0</v>
      </c>
      <c r="AV155" s="56">
        <f>AT155+AU155</f>
        <v>1602000</v>
      </c>
      <c r="AW155" s="32"/>
      <c r="AX155" s="28">
        <v>977742.5</v>
      </c>
      <c r="AY155" s="29">
        <f>AX155-AV155</f>
        <v>-624257.5</v>
      </c>
      <c r="AZ155" s="25"/>
      <c r="BA155" s="30"/>
    </row>
    <row r="156" spans="1:53" s="2" customFormat="1" ht="12.75">
      <c r="A156" s="405"/>
      <c r="B156" s="382" t="s">
        <v>384</v>
      </c>
      <c r="C156" s="383"/>
      <c r="D156" s="383"/>
      <c r="E156" s="384"/>
      <c r="F156" s="396" t="s">
        <v>388</v>
      </c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5"/>
      <c r="U156" s="385"/>
      <c r="V156" s="385"/>
      <c r="W156" s="385"/>
      <c r="X156" s="385"/>
      <c r="Y156" s="385"/>
      <c r="Z156" s="385"/>
      <c r="AA156" s="385"/>
      <c r="AB156" s="385"/>
      <c r="AC156" s="385"/>
      <c r="AD156" s="385"/>
      <c r="AE156" s="397"/>
      <c r="AF156" s="389"/>
      <c r="AG156" s="390"/>
      <c r="AH156" s="390"/>
      <c r="AI156" s="391"/>
      <c r="AJ156" s="390" t="s">
        <v>386</v>
      </c>
      <c r="AK156" s="390"/>
      <c r="AL156" s="390"/>
      <c r="AM156" s="390"/>
      <c r="AN156" s="389" t="s">
        <v>389</v>
      </c>
      <c r="AO156" s="390"/>
      <c r="AP156" s="390"/>
      <c r="AQ156" s="391"/>
      <c r="AR156" s="43"/>
      <c r="AS156" s="64">
        <f>SUM(AS154:AS155)</f>
        <v>0</v>
      </c>
      <c r="AT156" s="57">
        <f>SUM(AT154:AT155)</f>
        <v>1602000</v>
      </c>
      <c r="AU156" s="57">
        <f>SUM(AU154:AU155)-2000</f>
        <v>0</v>
      </c>
      <c r="AV156" s="57">
        <f>SUM(AV154:AV155)</f>
        <v>1604000</v>
      </c>
      <c r="AW156" s="33">
        <f>AV156-AT156</f>
        <v>2000</v>
      </c>
      <c r="AX156" s="34">
        <f>SUM(AX154:AX155)</f>
        <v>979761.5</v>
      </c>
      <c r="AY156" s="35">
        <f>SUM(AY154:AY155)</f>
        <v>-624238.5</v>
      </c>
      <c r="AZ156" s="44"/>
      <c r="BA156" s="36">
        <f>SUM(BA154:BA155)</f>
        <v>0</v>
      </c>
    </row>
    <row r="157" spans="1:53" ht="12.75" hidden="1">
      <c r="A157" s="405"/>
      <c r="B157" s="376" t="s">
        <v>390</v>
      </c>
      <c r="C157" s="377"/>
      <c r="D157" s="377"/>
      <c r="E157" s="378"/>
      <c r="F157" s="379" t="s">
        <v>142</v>
      </c>
      <c r="G157" s="380"/>
      <c r="H157" s="380"/>
      <c r="I157" s="380"/>
      <c r="J157" s="374" t="s">
        <v>143</v>
      </c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87"/>
      <c r="AF157" s="369"/>
      <c r="AG157" s="370"/>
      <c r="AH157" s="370"/>
      <c r="AI157" s="371"/>
      <c r="AJ157" s="370" t="s">
        <v>91</v>
      </c>
      <c r="AK157" s="370"/>
      <c r="AL157" s="370"/>
      <c r="AM157" s="370"/>
      <c r="AN157" s="369" t="s">
        <v>391</v>
      </c>
      <c r="AO157" s="370"/>
      <c r="AP157" s="370"/>
      <c r="AQ157" s="371"/>
      <c r="AR157" s="24"/>
      <c r="AS157" s="65"/>
      <c r="AT157" s="55">
        <v>50000</v>
      </c>
      <c r="AU157" s="55"/>
      <c r="AV157" s="56">
        <f>AT157+AU157</f>
        <v>50000</v>
      </c>
      <c r="AW157" s="32"/>
      <c r="AX157" s="28">
        <v>18400</v>
      </c>
      <c r="AY157" s="29">
        <f>AX157-AV157</f>
        <v>-31600</v>
      </c>
      <c r="AZ157" s="25"/>
      <c r="BA157" s="30"/>
    </row>
    <row r="158" spans="1:53" s="2" customFormat="1" ht="12.75">
      <c r="A158" s="405"/>
      <c r="B158" s="382" t="s">
        <v>390</v>
      </c>
      <c r="C158" s="383"/>
      <c r="D158" s="383"/>
      <c r="E158" s="384"/>
      <c r="F158" s="396" t="s">
        <v>392</v>
      </c>
      <c r="G158" s="385"/>
      <c r="H158" s="385"/>
      <c r="I158" s="385"/>
      <c r="J158" s="385"/>
      <c r="K158" s="385"/>
      <c r="L158" s="385"/>
      <c r="M158" s="385"/>
      <c r="N158" s="385"/>
      <c r="O158" s="385"/>
      <c r="P158" s="385"/>
      <c r="Q158" s="385"/>
      <c r="R158" s="385"/>
      <c r="S158" s="385"/>
      <c r="T158" s="385"/>
      <c r="U158" s="385"/>
      <c r="V158" s="385"/>
      <c r="W158" s="385"/>
      <c r="X158" s="385"/>
      <c r="Y158" s="385"/>
      <c r="Z158" s="385"/>
      <c r="AA158" s="385"/>
      <c r="AB158" s="385"/>
      <c r="AC158" s="385"/>
      <c r="AD158" s="385"/>
      <c r="AE158" s="397"/>
      <c r="AF158" s="389"/>
      <c r="AG158" s="390"/>
      <c r="AH158" s="390"/>
      <c r="AI158" s="391"/>
      <c r="AJ158" s="390" t="s">
        <v>91</v>
      </c>
      <c r="AK158" s="390"/>
      <c r="AL158" s="390"/>
      <c r="AM158" s="390"/>
      <c r="AN158" s="389" t="s">
        <v>391</v>
      </c>
      <c r="AO158" s="390"/>
      <c r="AP158" s="390"/>
      <c r="AQ158" s="391"/>
      <c r="AR158" s="43"/>
      <c r="AS158" s="64">
        <f>AS157</f>
        <v>0</v>
      </c>
      <c r="AT158" s="57">
        <f>AT157</f>
        <v>50000</v>
      </c>
      <c r="AU158" s="57">
        <f>AU157</f>
        <v>0</v>
      </c>
      <c r="AV158" s="57">
        <f>AV157</f>
        <v>50000</v>
      </c>
      <c r="AW158" s="33">
        <f>AV158-AT158</f>
        <v>0</v>
      </c>
      <c r="AX158" s="34">
        <f>AX157</f>
        <v>18400</v>
      </c>
      <c r="AY158" s="35">
        <f>AY157</f>
        <v>-31600</v>
      </c>
      <c r="AZ158" s="44"/>
      <c r="BA158" s="36">
        <f>BA157</f>
        <v>0</v>
      </c>
    </row>
    <row r="159" spans="1:53" ht="12.75" hidden="1">
      <c r="A159" s="22"/>
      <c r="B159" s="376" t="s">
        <v>393</v>
      </c>
      <c r="C159" s="377"/>
      <c r="D159" s="377"/>
      <c r="E159" s="378"/>
      <c r="F159" s="379" t="s">
        <v>142</v>
      </c>
      <c r="G159" s="380"/>
      <c r="H159" s="380"/>
      <c r="I159" s="380"/>
      <c r="J159" s="374" t="s">
        <v>143</v>
      </c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  <c r="AC159" s="374"/>
      <c r="AD159" s="374"/>
      <c r="AE159" s="387"/>
      <c r="AF159" s="369"/>
      <c r="AG159" s="370"/>
      <c r="AH159" s="370"/>
      <c r="AI159" s="371"/>
      <c r="AJ159" s="370"/>
      <c r="AK159" s="370"/>
      <c r="AL159" s="370"/>
      <c r="AM159" s="370"/>
      <c r="AN159" s="369" t="s">
        <v>394</v>
      </c>
      <c r="AO159" s="370"/>
      <c r="AP159" s="370"/>
      <c r="AQ159" s="371"/>
      <c r="AR159" s="24"/>
      <c r="AS159" s="65"/>
      <c r="AT159" s="55"/>
      <c r="AU159" s="55">
        <f>AV159-AT159</f>
        <v>42000</v>
      </c>
      <c r="AV159" s="55">
        <f>0+42000</f>
        <v>42000</v>
      </c>
      <c r="AW159" s="27"/>
      <c r="AX159" s="28">
        <v>42350</v>
      </c>
      <c r="AY159" s="29">
        <f>AX159-AV159</f>
        <v>350</v>
      </c>
      <c r="AZ159" s="25"/>
      <c r="BA159" s="30"/>
    </row>
    <row r="160" spans="1:53" ht="12.75" hidden="1">
      <c r="A160" s="22"/>
      <c r="B160" s="376" t="s">
        <v>393</v>
      </c>
      <c r="C160" s="377"/>
      <c r="D160" s="377"/>
      <c r="E160" s="378"/>
      <c r="F160" s="379" t="s">
        <v>146</v>
      </c>
      <c r="G160" s="380"/>
      <c r="H160" s="380"/>
      <c r="I160" s="380"/>
      <c r="J160" s="374" t="s">
        <v>147</v>
      </c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  <c r="AC160" s="374"/>
      <c r="AD160" s="374"/>
      <c r="AE160" s="387"/>
      <c r="AF160" s="369"/>
      <c r="AG160" s="370"/>
      <c r="AH160" s="370"/>
      <c r="AI160" s="371"/>
      <c r="AJ160" s="370"/>
      <c r="AK160" s="370"/>
      <c r="AL160" s="370"/>
      <c r="AM160" s="370"/>
      <c r="AN160" s="369" t="s">
        <v>395</v>
      </c>
      <c r="AO160" s="370"/>
      <c r="AP160" s="370"/>
      <c r="AQ160" s="371"/>
      <c r="AR160" s="24"/>
      <c r="AS160" s="65"/>
      <c r="AT160" s="55"/>
      <c r="AU160" s="55">
        <f>AV160-AT160</f>
        <v>32000</v>
      </c>
      <c r="AV160" s="55">
        <f>0+32000</f>
        <v>32000</v>
      </c>
      <c r="AW160" s="27"/>
      <c r="AX160" s="28">
        <v>32102</v>
      </c>
      <c r="AY160" s="29">
        <f>AX160-AV160</f>
        <v>102</v>
      </c>
      <c r="AZ160" s="25"/>
      <c r="BA160" s="30"/>
    </row>
    <row r="161" spans="1:53" ht="12.75" hidden="1">
      <c r="A161" s="22"/>
      <c r="B161" s="376" t="s">
        <v>393</v>
      </c>
      <c r="C161" s="377"/>
      <c r="D161" s="377"/>
      <c r="E161" s="378"/>
      <c r="F161" s="379" t="s">
        <v>151</v>
      </c>
      <c r="G161" s="380"/>
      <c r="H161" s="380"/>
      <c r="I161" s="380"/>
      <c r="J161" s="374" t="s">
        <v>152</v>
      </c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  <c r="AC161" s="374"/>
      <c r="AD161" s="374"/>
      <c r="AE161" s="387"/>
      <c r="AF161" s="369" t="s">
        <v>396</v>
      </c>
      <c r="AG161" s="370"/>
      <c r="AH161" s="370"/>
      <c r="AI161" s="371"/>
      <c r="AJ161" s="370" t="s">
        <v>397</v>
      </c>
      <c r="AK161" s="370"/>
      <c r="AL161" s="370"/>
      <c r="AM161" s="370"/>
      <c r="AN161" s="369" t="s">
        <v>398</v>
      </c>
      <c r="AO161" s="370"/>
      <c r="AP161" s="370"/>
      <c r="AQ161" s="371"/>
      <c r="AR161" s="24"/>
      <c r="AS161" s="65">
        <v>5500000</v>
      </c>
      <c r="AT161" s="55">
        <v>5936900</v>
      </c>
      <c r="AU161" s="55">
        <f>AV161-AT161</f>
        <v>1699100</v>
      </c>
      <c r="AV161" s="55">
        <f>5936900+1700000*0+1699100</f>
        <v>7636000</v>
      </c>
      <c r="AW161" s="27"/>
      <c r="AX161" s="28">
        <v>7636813.4</v>
      </c>
      <c r="AY161" s="29">
        <f>AX161-AV161</f>
        <v>813.4000000003725</v>
      </c>
      <c r="AZ161" s="25"/>
      <c r="BA161" s="30">
        <v>5500000</v>
      </c>
    </row>
    <row r="162" spans="1:53" s="2" customFormat="1" ht="12.75">
      <c r="A162" s="400">
        <v>8</v>
      </c>
      <c r="B162" s="382" t="s">
        <v>393</v>
      </c>
      <c r="C162" s="383"/>
      <c r="D162" s="383"/>
      <c r="E162" s="384"/>
      <c r="F162" s="396" t="s">
        <v>399</v>
      </c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5"/>
      <c r="S162" s="385"/>
      <c r="T162" s="385"/>
      <c r="U162" s="385"/>
      <c r="V162" s="385"/>
      <c r="W162" s="385"/>
      <c r="X162" s="385"/>
      <c r="Y162" s="385"/>
      <c r="Z162" s="385"/>
      <c r="AA162" s="385"/>
      <c r="AB162" s="385"/>
      <c r="AC162" s="385"/>
      <c r="AD162" s="385"/>
      <c r="AE162" s="397"/>
      <c r="AF162" s="389" t="s">
        <v>396</v>
      </c>
      <c r="AG162" s="390"/>
      <c r="AH162" s="390"/>
      <c r="AI162" s="391"/>
      <c r="AJ162" s="390" t="s">
        <v>397</v>
      </c>
      <c r="AK162" s="390"/>
      <c r="AL162" s="390"/>
      <c r="AM162" s="390"/>
      <c r="AN162" s="389" t="s">
        <v>400</v>
      </c>
      <c r="AO162" s="390"/>
      <c r="AP162" s="390"/>
      <c r="AQ162" s="391"/>
      <c r="AR162" s="43"/>
      <c r="AS162" s="64">
        <f>SUM(AS159:AS161)</f>
        <v>5500000</v>
      </c>
      <c r="AT162" s="57">
        <f>SUM(AT159:AT161)</f>
        <v>5936900</v>
      </c>
      <c r="AU162" s="57">
        <f>SUM(AU159:AU161)-1773100</f>
        <v>0</v>
      </c>
      <c r="AV162" s="57">
        <f>SUM(AV159:AV161)</f>
        <v>7710000</v>
      </c>
      <c r="AW162" s="33">
        <f>AV162-AT162</f>
        <v>1773100</v>
      </c>
      <c r="AX162" s="34">
        <f>SUM(AX159:AX161)</f>
        <v>7711265.4</v>
      </c>
      <c r="AY162" s="35">
        <f>SUM(AY159:AY161)</f>
        <v>1265.4000000003725</v>
      </c>
      <c r="AZ162" s="44"/>
      <c r="BA162" s="36">
        <f>SUM(BA159:BA161)</f>
        <v>5500000</v>
      </c>
    </row>
    <row r="163" spans="1:53" ht="12.75" customHeight="1" hidden="1">
      <c r="A163" s="406"/>
      <c r="B163" s="376" t="s">
        <v>401</v>
      </c>
      <c r="C163" s="377"/>
      <c r="D163" s="377"/>
      <c r="E163" s="378"/>
      <c r="F163" s="379" t="s">
        <v>146</v>
      </c>
      <c r="G163" s="380"/>
      <c r="H163" s="380"/>
      <c r="I163" s="380"/>
      <c r="J163" s="374" t="s">
        <v>147</v>
      </c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  <c r="AC163" s="374"/>
      <c r="AD163" s="374"/>
      <c r="AE163" s="387"/>
      <c r="AF163" s="369"/>
      <c r="AG163" s="370"/>
      <c r="AH163" s="370"/>
      <c r="AI163" s="371"/>
      <c r="AJ163" s="370"/>
      <c r="AK163" s="370"/>
      <c r="AL163" s="370"/>
      <c r="AM163" s="370"/>
      <c r="AN163" s="369" t="s">
        <v>402</v>
      </c>
      <c r="AO163" s="370"/>
      <c r="AP163" s="370"/>
      <c r="AQ163" s="371"/>
      <c r="AR163" s="24"/>
      <c r="AS163" s="65"/>
      <c r="AT163" s="55"/>
      <c r="AU163" s="55">
        <v>2000</v>
      </c>
      <c r="AV163" s="56">
        <f>AT163+AU163</f>
        <v>2000</v>
      </c>
      <c r="AW163" s="32"/>
      <c r="AX163" s="28">
        <v>2160</v>
      </c>
      <c r="AY163" s="29">
        <f>AX163-AV163</f>
        <v>160</v>
      </c>
      <c r="AZ163" s="25"/>
      <c r="BA163" s="30"/>
    </row>
    <row r="164" spans="1:53" s="2" customFormat="1" ht="12.75">
      <c r="A164" s="406"/>
      <c r="B164" s="382" t="s">
        <v>401</v>
      </c>
      <c r="C164" s="383"/>
      <c r="D164" s="383"/>
      <c r="E164" s="384"/>
      <c r="F164" s="396" t="s">
        <v>403</v>
      </c>
      <c r="G164" s="385"/>
      <c r="H164" s="385"/>
      <c r="I164" s="385"/>
      <c r="J164" s="385"/>
      <c r="K164" s="385"/>
      <c r="L164" s="385"/>
      <c r="M164" s="385"/>
      <c r="N164" s="385"/>
      <c r="O164" s="385"/>
      <c r="P164" s="385"/>
      <c r="Q164" s="385"/>
      <c r="R164" s="385"/>
      <c r="S164" s="385"/>
      <c r="T164" s="385"/>
      <c r="U164" s="385"/>
      <c r="V164" s="385"/>
      <c r="W164" s="385"/>
      <c r="X164" s="385"/>
      <c r="Y164" s="385"/>
      <c r="Z164" s="385"/>
      <c r="AA164" s="385"/>
      <c r="AB164" s="385"/>
      <c r="AC164" s="385"/>
      <c r="AD164" s="385"/>
      <c r="AE164" s="397"/>
      <c r="AF164" s="389"/>
      <c r="AG164" s="390"/>
      <c r="AH164" s="390"/>
      <c r="AI164" s="391"/>
      <c r="AJ164" s="390"/>
      <c r="AK164" s="390"/>
      <c r="AL164" s="390"/>
      <c r="AM164" s="390"/>
      <c r="AN164" s="389" t="s">
        <v>402</v>
      </c>
      <c r="AO164" s="390"/>
      <c r="AP164" s="390"/>
      <c r="AQ164" s="391"/>
      <c r="AR164" s="43"/>
      <c r="AS164" s="64">
        <f>AS163</f>
        <v>0</v>
      </c>
      <c r="AT164" s="57">
        <f>AT163</f>
        <v>0</v>
      </c>
      <c r="AU164" s="57">
        <f>AU163-2000</f>
        <v>0</v>
      </c>
      <c r="AV164" s="57">
        <f>AV163</f>
        <v>2000</v>
      </c>
      <c r="AW164" s="33">
        <f>AV164-AT164</f>
        <v>2000</v>
      </c>
      <c r="AX164" s="34">
        <f>AX163</f>
        <v>2160</v>
      </c>
      <c r="AY164" s="35">
        <f>AY163</f>
        <v>160</v>
      </c>
      <c r="AZ164" s="44"/>
      <c r="BA164" s="36">
        <f>BA163</f>
        <v>0</v>
      </c>
    </row>
    <row r="165" spans="1:53" ht="12.75" customHeight="1" hidden="1">
      <c r="A165" s="406"/>
      <c r="B165" s="376" t="s">
        <v>404</v>
      </c>
      <c r="C165" s="377"/>
      <c r="D165" s="377"/>
      <c r="E165" s="378"/>
      <c r="F165" s="379" t="s">
        <v>151</v>
      </c>
      <c r="G165" s="380"/>
      <c r="H165" s="380"/>
      <c r="I165" s="380"/>
      <c r="J165" s="374" t="s">
        <v>152</v>
      </c>
      <c r="K165" s="374"/>
      <c r="L165" s="374"/>
      <c r="M165" s="374"/>
      <c r="N165" s="374"/>
      <c r="O165" s="374"/>
      <c r="P165" s="374"/>
      <c r="Q165" s="374"/>
      <c r="R165" s="374"/>
      <c r="S165" s="374"/>
      <c r="T165" s="374"/>
      <c r="U165" s="374"/>
      <c r="V165" s="374"/>
      <c r="W165" s="374"/>
      <c r="X165" s="374"/>
      <c r="Y165" s="374"/>
      <c r="Z165" s="374"/>
      <c r="AA165" s="374"/>
      <c r="AB165" s="374"/>
      <c r="AC165" s="374"/>
      <c r="AD165" s="374"/>
      <c r="AE165" s="387"/>
      <c r="AF165" s="369" t="s">
        <v>405</v>
      </c>
      <c r="AG165" s="370"/>
      <c r="AH165" s="370"/>
      <c r="AI165" s="371"/>
      <c r="AJ165" s="370" t="s">
        <v>406</v>
      </c>
      <c r="AK165" s="370"/>
      <c r="AL165" s="370"/>
      <c r="AM165" s="370"/>
      <c r="AN165" s="369" t="s">
        <v>407</v>
      </c>
      <c r="AO165" s="370"/>
      <c r="AP165" s="370"/>
      <c r="AQ165" s="371"/>
      <c r="AR165" s="24"/>
      <c r="AS165" s="65">
        <v>3000000</v>
      </c>
      <c r="AT165" s="55">
        <v>3360000</v>
      </c>
      <c r="AU165" s="55">
        <f>AV165-AT165</f>
        <v>-2940000</v>
      </c>
      <c r="AV165" s="55">
        <f>3360000-2940000</f>
        <v>420000</v>
      </c>
      <c r="AW165" s="27"/>
      <c r="AX165" s="28">
        <v>420475</v>
      </c>
      <c r="AY165" s="29">
        <f>AX165-AV165</f>
        <v>475</v>
      </c>
      <c r="AZ165" s="25"/>
      <c r="BA165" s="30">
        <v>3000000</v>
      </c>
    </row>
    <row r="166" spans="1:53" s="2" customFormat="1" ht="12.75">
      <c r="A166" s="406"/>
      <c r="B166" s="382" t="s">
        <v>404</v>
      </c>
      <c r="C166" s="383"/>
      <c r="D166" s="383"/>
      <c r="E166" s="384"/>
      <c r="F166" s="396" t="s">
        <v>408</v>
      </c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  <c r="S166" s="385"/>
      <c r="T166" s="385"/>
      <c r="U166" s="385"/>
      <c r="V166" s="385"/>
      <c r="W166" s="385"/>
      <c r="X166" s="385"/>
      <c r="Y166" s="385"/>
      <c r="Z166" s="385"/>
      <c r="AA166" s="385"/>
      <c r="AB166" s="385"/>
      <c r="AC166" s="385"/>
      <c r="AD166" s="385"/>
      <c r="AE166" s="397"/>
      <c r="AF166" s="389" t="s">
        <v>405</v>
      </c>
      <c r="AG166" s="390"/>
      <c r="AH166" s="390"/>
      <c r="AI166" s="391"/>
      <c r="AJ166" s="390" t="s">
        <v>406</v>
      </c>
      <c r="AK166" s="390"/>
      <c r="AL166" s="390"/>
      <c r="AM166" s="390"/>
      <c r="AN166" s="389" t="s">
        <v>407</v>
      </c>
      <c r="AO166" s="390"/>
      <c r="AP166" s="390"/>
      <c r="AQ166" s="391"/>
      <c r="AR166" s="43"/>
      <c r="AS166" s="64">
        <f>AS165</f>
        <v>3000000</v>
      </c>
      <c r="AT166" s="57">
        <f>AT165</f>
        <v>3360000</v>
      </c>
      <c r="AU166" s="57">
        <f>AU165+2940000</f>
        <v>0</v>
      </c>
      <c r="AV166" s="57">
        <f>AV165</f>
        <v>420000</v>
      </c>
      <c r="AW166" s="33">
        <f>AV166-AT166</f>
        <v>-2940000</v>
      </c>
      <c r="AX166" s="34">
        <f>AX165</f>
        <v>420475</v>
      </c>
      <c r="AY166" s="35">
        <f>AY165</f>
        <v>475</v>
      </c>
      <c r="AZ166" s="44"/>
      <c r="BA166" s="36">
        <f>BA165</f>
        <v>3000000</v>
      </c>
    </row>
    <row r="167" spans="1:53" ht="12.75" customHeight="1" hidden="1">
      <c r="A167" s="406"/>
      <c r="B167" s="376" t="s">
        <v>409</v>
      </c>
      <c r="C167" s="377"/>
      <c r="D167" s="377"/>
      <c r="E167" s="378"/>
      <c r="F167" s="379" t="s">
        <v>195</v>
      </c>
      <c r="G167" s="380"/>
      <c r="H167" s="380"/>
      <c r="I167" s="380"/>
      <c r="J167" s="374" t="s">
        <v>196</v>
      </c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4"/>
      <c r="AC167" s="374"/>
      <c r="AD167" s="374"/>
      <c r="AE167" s="387"/>
      <c r="AF167" s="369" t="s">
        <v>410</v>
      </c>
      <c r="AG167" s="370"/>
      <c r="AH167" s="370"/>
      <c r="AI167" s="371"/>
      <c r="AJ167" s="370" t="s">
        <v>410</v>
      </c>
      <c r="AK167" s="370"/>
      <c r="AL167" s="370"/>
      <c r="AM167" s="370"/>
      <c r="AN167" s="369" t="s">
        <v>411</v>
      </c>
      <c r="AO167" s="370"/>
      <c r="AP167" s="370"/>
      <c r="AQ167" s="371"/>
      <c r="AR167" s="24"/>
      <c r="AS167" s="65">
        <v>7300000</v>
      </c>
      <c r="AT167" s="55">
        <v>7300000</v>
      </c>
      <c r="AU167" s="55">
        <v>610000</v>
      </c>
      <c r="AV167" s="56">
        <f>AT167+AU167</f>
        <v>7910000</v>
      </c>
      <c r="AW167" s="32"/>
      <c r="AX167" s="28">
        <v>6075000</v>
      </c>
      <c r="AY167" s="29">
        <f>AX167-AV167</f>
        <v>-1835000</v>
      </c>
      <c r="AZ167" s="25"/>
      <c r="BA167" s="30">
        <f>7300000*1.05</f>
        <v>7665000</v>
      </c>
    </row>
    <row r="168" spans="1:53" s="2" customFormat="1" ht="12.75">
      <c r="A168" s="406"/>
      <c r="B168" s="382" t="s">
        <v>409</v>
      </c>
      <c r="C168" s="383"/>
      <c r="D168" s="383"/>
      <c r="E168" s="384"/>
      <c r="F168" s="396" t="s">
        <v>412</v>
      </c>
      <c r="G168" s="385"/>
      <c r="H168" s="385"/>
      <c r="I168" s="385"/>
      <c r="J168" s="385"/>
      <c r="K168" s="385"/>
      <c r="L168" s="385"/>
      <c r="M168" s="385"/>
      <c r="N168" s="385"/>
      <c r="O168" s="385"/>
      <c r="P168" s="385"/>
      <c r="Q168" s="385"/>
      <c r="R168" s="385"/>
      <c r="S168" s="385"/>
      <c r="T168" s="385"/>
      <c r="U168" s="385"/>
      <c r="V168" s="385"/>
      <c r="W168" s="385"/>
      <c r="X168" s="385"/>
      <c r="Y168" s="385"/>
      <c r="Z168" s="385"/>
      <c r="AA168" s="385"/>
      <c r="AB168" s="385"/>
      <c r="AC168" s="385"/>
      <c r="AD168" s="385"/>
      <c r="AE168" s="397"/>
      <c r="AF168" s="389" t="s">
        <v>410</v>
      </c>
      <c r="AG168" s="390"/>
      <c r="AH168" s="390"/>
      <c r="AI168" s="391"/>
      <c r="AJ168" s="390" t="s">
        <v>410</v>
      </c>
      <c r="AK168" s="390"/>
      <c r="AL168" s="390"/>
      <c r="AM168" s="390"/>
      <c r="AN168" s="389" t="s">
        <v>411</v>
      </c>
      <c r="AO168" s="390"/>
      <c r="AP168" s="390"/>
      <c r="AQ168" s="391"/>
      <c r="AR168" s="43"/>
      <c r="AS168" s="64">
        <f>AS167</f>
        <v>7300000</v>
      </c>
      <c r="AT168" s="57">
        <f>AT167</f>
        <v>7300000</v>
      </c>
      <c r="AU168" s="57">
        <f>AU167-610000</f>
        <v>0</v>
      </c>
      <c r="AV168" s="57">
        <f>AV167</f>
        <v>7910000</v>
      </c>
      <c r="AW168" s="33">
        <f>AV168-AT168</f>
        <v>610000</v>
      </c>
      <c r="AX168" s="34">
        <f>AX167</f>
        <v>6075000</v>
      </c>
      <c r="AY168" s="35">
        <f>AY167</f>
        <v>-1835000</v>
      </c>
      <c r="AZ168" s="44"/>
      <c r="BA168" s="36">
        <f>BA167</f>
        <v>7665000</v>
      </c>
    </row>
    <row r="169" spans="1:53" ht="12.75" hidden="1">
      <c r="A169" s="22"/>
      <c r="B169" s="376" t="s">
        <v>94</v>
      </c>
      <c r="C169" s="377"/>
      <c r="D169" s="377"/>
      <c r="E169" s="378"/>
      <c r="F169" s="379" t="s">
        <v>195</v>
      </c>
      <c r="G169" s="380"/>
      <c r="H169" s="380"/>
      <c r="I169" s="380"/>
      <c r="J169" s="374" t="s">
        <v>196</v>
      </c>
      <c r="K169" s="374"/>
      <c r="L169" s="374"/>
      <c r="M169" s="374"/>
      <c r="N169" s="374"/>
      <c r="O169" s="374"/>
      <c r="P169" s="374"/>
      <c r="Q169" s="374"/>
      <c r="R169" s="374"/>
      <c r="S169" s="374"/>
      <c r="T169" s="374"/>
      <c r="U169" s="374"/>
      <c r="V169" s="374"/>
      <c r="W169" s="374"/>
      <c r="X169" s="374"/>
      <c r="Y169" s="374"/>
      <c r="Z169" s="374"/>
      <c r="AA169" s="374"/>
      <c r="AB169" s="374"/>
      <c r="AC169" s="374"/>
      <c r="AD169" s="374"/>
      <c r="AE169" s="387"/>
      <c r="AF169" s="369"/>
      <c r="AG169" s="370"/>
      <c r="AH169" s="370"/>
      <c r="AI169" s="371"/>
      <c r="AJ169" s="370" t="s">
        <v>413</v>
      </c>
      <c r="AK169" s="370"/>
      <c r="AL169" s="370"/>
      <c r="AM169" s="370"/>
      <c r="AN169" s="369" t="s">
        <v>414</v>
      </c>
      <c r="AO169" s="370"/>
      <c r="AP169" s="370"/>
      <c r="AQ169" s="371"/>
      <c r="AR169" s="24"/>
      <c r="AS169" s="65"/>
      <c r="AT169" s="55">
        <v>4000000</v>
      </c>
      <c r="AU169" s="55"/>
      <c r="AV169" s="56">
        <f>AT169+AU169</f>
        <v>4000000</v>
      </c>
      <c r="AW169" s="32"/>
      <c r="AX169" s="28">
        <v>3335000</v>
      </c>
      <c r="AY169" s="29">
        <f>AX169-AV169</f>
        <v>-665000</v>
      </c>
      <c r="AZ169" s="25"/>
      <c r="BA169" s="30"/>
    </row>
    <row r="170" spans="1:53" s="2" customFormat="1" ht="12.75">
      <c r="A170" s="407">
        <v>2</v>
      </c>
      <c r="B170" s="382" t="s">
        <v>94</v>
      </c>
      <c r="C170" s="383"/>
      <c r="D170" s="383"/>
      <c r="E170" s="384"/>
      <c r="F170" s="396" t="s">
        <v>98</v>
      </c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5"/>
      <c r="U170" s="385"/>
      <c r="V170" s="385"/>
      <c r="W170" s="385"/>
      <c r="X170" s="385"/>
      <c r="Y170" s="385"/>
      <c r="Z170" s="385"/>
      <c r="AA170" s="385"/>
      <c r="AB170" s="385"/>
      <c r="AC170" s="385"/>
      <c r="AD170" s="385"/>
      <c r="AE170" s="397"/>
      <c r="AF170" s="389"/>
      <c r="AG170" s="390"/>
      <c r="AH170" s="390"/>
      <c r="AI170" s="391"/>
      <c r="AJ170" s="390" t="s">
        <v>413</v>
      </c>
      <c r="AK170" s="390"/>
      <c r="AL170" s="390"/>
      <c r="AM170" s="390"/>
      <c r="AN170" s="389" t="s">
        <v>414</v>
      </c>
      <c r="AO170" s="390"/>
      <c r="AP170" s="390"/>
      <c r="AQ170" s="391"/>
      <c r="AR170" s="43"/>
      <c r="AS170" s="64">
        <f>AS169</f>
        <v>0</v>
      </c>
      <c r="AT170" s="57">
        <f>AT169</f>
        <v>4000000</v>
      </c>
      <c r="AU170" s="57">
        <f>AU169</f>
        <v>0</v>
      </c>
      <c r="AV170" s="57">
        <f>AV169</f>
        <v>4000000</v>
      </c>
      <c r="AW170" s="33">
        <f>AV170-AT170</f>
        <v>0</v>
      </c>
      <c r="AX170" s="34">
        <f>AX169</f>
        <v>3335000</v>
      </c>
      <c r="AY170" s="35">
        <f>AY169</f>
        <v>-665000</v>
      </c>
      <c r="AZ170" s="44"/>
      <c r="BA170" s="36">
        <f>BA169</f>
        <v>0</v>
      </c>
    </row>
    <row r="171" spans="1:53" ht="12.75" customHeight="1" hidden="1">
      <c r="A171" s="406"/>
      <c r="B171" s="376" t="s">
        <v>415</v>
      </c>
      <c r="C171" s="377"/>
      <c r="D171" s="377"/>
      <c r="E171" s="378"/>
      <c r="F171" s="379" t="s">
        <v>257</v>
      </c>
      <c r="G171" s="380"/>
      <c r="H171" s="380"/>
      <c r="I171" s="380"/>
      <c r="J171" s="374" t="s">
        <v>258</v>
      </c>
      <c r="K171" s="374"/>
      <c r="L171" s="374"/>
      <c r="M171" s="374"/>
      <c r="N171" s="374"/>
      <c r="O171" s="374"/>
      <c r="P171" s="374"/>
      <c r="Q171" s="374"/>
      <c r="R171" s="374"/>
      <c r="S171" s="374"/>
      <c r="T171" s="374"/>
      <c r="U171" s="374"/>
      <c r="V171" s="374"/>
      <c r="W171" s="374"/>
      <c r="X171" s="374"/>
      <c r="Y171" s="374"/>
      <c r="Z171" s="374"/>
      <c r="AA171" s="374"/>
      <c r="AB171" s="374"/>
      <c r="AC171" s="374"/>
      <c r="AD171" s="374"/>
      <c r="AE171" s="387"/>
      <c r="AF171" s="369"/>
      <c r="AG171" s="370"/>
      <c r="AH171" s="370"/>
      <c r="AI171" s="371"/>
      <c r="AJ171" s="370" t="s">
        <v>416</v>
      </c>
      <c r="AK171" s="370"/>
      <c r="AL171" s="370"/>
      <c r="AM171" s="370"/>
      <c r="AN171" s="369" t="s">
        <v>417</v>
      </c>
      <c r="AO171" s="370"/>
      <c r="AP171" s="370"/>
      <c r="AQ171" s="371"/>
      <c r="AR171" s="24"/>
      <c r="AS171" s="65"/>
      <c r="AT171" s="55">
        <v>168000</v>
      </c>
      <c r="AU171" s="55"/>
      <c r="AV171" s="56">
        <f>AT171+AU171</f>
        <v>168000</v>
      </c>
      <c r="AW171" s="32"/>
      <c r="AX171" s="28">
        <v>168033.92</v>
      </c>
      <c r="AY171" s="29">
        <f>AX171-AV171</f>
        <v>33.920000000012806</v>
      </c>
      <c r="AZ171" s="25"/>
      <c r="BA171" s="30"/>
    </row>
    <row r="172" spans="1:53" ht="12.75" customHeight="1" hidden="1">
      <c r="A172" s="406"/>
      <c r="B172" s="376" t="s">
        <v>415</v>
      </c>
      <c r="C172" s="377"/>
      <c r="D172" s="377"/>
      <c r="E172" s="378"/>
      <c r="F172" s="379" t="s">
        <v>142</v>
      </c>
      <c r="G172" s="380"/>
      <c r="H172" s="380"/>
      <c r="I172" s="380"/>
      <c r="J172" s="374" t="s">
        <v>143</v>
      </c>
      <c r="K172" s="374"/>
      <c r="L172" s="374"/>
      <c r="M172" s="374"/>
      <c r="N172" s="374"/>
      <c r="O172" s="374"/>
      <c r="P172" s="374"/>
      <c r="Q172" s="374"/>
      <c r="R172" s="374"/>
      <c r="S172" s="374"/>
      <c r="T172" s="374"/>
      <c r="U172" s="374"/>
      <c r="V172" s="374"/>
      <c r="W172" s="374"/>
      <c r="X172" s="374"/>
      <c r="Y172" s="374"/>
      <c r="Z172" s="374"/>
      <c r="AA172" s="374"/>
      <c r="AB172" s="374"/>
      <c r="AC172" s="374"/>
      <c r="AD172" s="374"/>
      <c r="AE172" s="387"/>
      <c r="AF172" s="369" t="s">
        <v>125</v>
      </c>
      <c r="AG172" s="370"/>
      <c r="AH172" s="370"/>
      <c r="AI172" s="371"/>
      <c r="AJ172" s="370" t="s">
        <v>418</v>
      </c>
      <c r="AK172" s="370"/>
      <c r="AL172" s="370"/>
      <c r="AM172" s="370"/>
      <c r="AN172" s="369" t="s">
        <v>419</v>
      </c>
      <c r="AO172" s="370"/>
      <c r="AP172" s="370"/>
      <c r="AQ172" s="371"/>
      <c r="AR172" s="24"/>
      <c r="AS172" s="65">
        <v>100000</v>
      </c>
      <c r="AT172" s="55">
        <v>153200</v>
      </c>
      <c r="AU172" s="55">
        <v>-40200</v>
      </c>
      <c r="AV172" s="56">
        <f>AT172+AU172</f>
        <v>113000</v>
      </c>
      <c r="AW172" s="32"/>
      <c r="AX172" s="28">
        <v>112808.8</v>
      </c>
      <c r="AY172" s="29">
        <f>AX172-AV172</f>
        <v>-191.1999999999971</v>
      </c>
      <c r="AZ172" s="25"/>
      <c r="BA172" s="30">
        <v>100000</v>
      </c>
    </row>
    <row r="173" spans="1:53" ht="12.75" customHeight="1" hidden="1">
      <c r="A173" s="406"/>
      <c r="B173" s="376" t="s">
        <v>415</v>
      </c>
      <c r="C173" s="377"/>
      <c r="D173" s="377"/>
      <c r="E173" s="378"/>
      <c r="F173" s="379" t="s">
        <v>151</v>
      </c>
      <c r="G173" s="380"/>
      <c r="H173" s="380"/>
      <c r="I173" s="380"/>
      <c r="J173" s="374" t="s">
        <v>152</v>
      </c>
      <c r="K173" s="374"/>
      <c r="L173" s="374"/>
      <c r="M173" s="374"/>
      <c r="N173" s="374"/>
      <c r="O173" s="374"/>
      <c r="P173" s="374"/>
      <c r="Q173" s="374"/>
      <c r="R173" s="374"/>
      <c r="S173" s="374"/>
      <c r="T173" s="374"/>
      <c r="U173" s="374"/>
      <c r="V173" s="374"/>
      <c r="W173" s="374"/>
      <c r="X173" s="374"/>
      <c r="Y173" s="374"/>
      <c r="Z173" s="374"/>
      <c r="AA173" s="374"/>
      <c r="AB173" s="374"/>
      <c r="AC173" s="374"/>
      <c r="AD173" s="374"/>
      <c r="AE173" s="387"/>
      <c r="AF173" s="369" t="s">
        <v>125</v>
      </c>
      <c r="AG173" s="370"/>
      <c r="AH173" s="370"/>
      <c r="AI173" s="371"/>
      <c r="AJ173" s="370" t="s">
        <v>125</v>
      </c>
      <c r="AK173" s="370"/>
      <c r="AL173" s="370"/>
      <c r="AM173" s="370"/>
      <c r="AN173" s="369"/>
      <c r="AO173" s="370"/>
      <c r="AP173" s="370"/>
      <c r="AQ173" s="371"/>
      <c r="AR173" s="24"/>
      <c r="AS173" s="65">
        <v>100000</v>
      </c>
      <c r="AT173" s="55">
        <v>100000</v>
      </c>
      <c r="AU173" s="55">
        <f>AV173-AT173</f>
        <v>-100000</v>
      </c>
      <c r="AV173" s="55">
        <f>100000-100000</f>
        <v>0</v>
      </c>
      <c r="AW173" s="27"/>
      <c r="AX173" s="28"/>
      <c r="AY173" s="29">
        <f>AX173-AV173</f>
        <v>0</v>
      </c>
      <c r="AZ173" s="25"/>
      <c r="BA173" s="30">
        <v>100000</v>
      </c>
    </row>
    <row r="174" spans="1:53" s="2" customFormat="1" ht="12.75">
      <c r="A174" s="406"/>
      <c r="B174" s="382" t="s">
        <v>415</v>
      </c>
      <c r="C174" s="383"/>
      <c r="D174" s="383"/>
      <c r="E174" s="384"/>
      <c r="F174" s="396" t="s">
        <v>420</v>
      </c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  <c r="S174" s="385"/>
      <c r="T174" s="385"/>
      <c r="U174" s="385"/>
      <c r="V174" s="385"/>
      <c r="W174" s="385"/>
      <c r="X174" s="385"/>
      <c r="Y174" s="385"/>
      <c r="Z174" s="385"/>
      <c r="AA174" s="385"/>
      <c r="AB174" s="385"/>
      <c r="AC174" s="385"/>
      <c r="AD174" s="385"/>
      <c r="AE174" s="397"/>
      <c r="AF174" s="389" t="s">
        <v>144</v>
      </c>
      <c r="AG174" s="390"/>
      <c r="AH174" s="390"/>
      <c r="AI174" s="391"/>
      <c r="AJ174" s="390" t="s">
        <v>421</v>
      </c>
      <c r="AK174" s="390"/>
      <c r="AL174" s="390"/>
      <c r="AM174" s="390"/>
      <c r="AN174" s="389" t="s">
        <v>422</v>
      </c>
      <c r="AO174" s="390"/>
      <c r="AP174" s="390"/>
      <c r="AQ174" s="391"/>
      <c r="AR174" s="43"/>
      <c r="AS174" s="64">
        <f>SUM(AS171:AS173)</f>
        <v>200000</v>
      </c>
      <c r="AT174" s="57">
        <f>SUM(AT171:AT173)</f>
        <v>421200</v>
      </c>
      <c r="AU174" s="57">
        <f>SUM(AU171:AU173)+140200</f>
        <v>0</v>
      </c>
      <c r="AV174" s="57">
        <f>SUM(AV171:AV173)</f>
        <v>281000</v>
      </c>
      <c r="AW174" s="33">
        <f>AV174-AT174</f>
        <v>-140200</v>
      </c>
      <c r="AX174" s="34">
        <f>SUM(AX171:AX173)</f>
        <v>280842.72000000003</v>
      </c>
      <c r="AY174" s="35">
        <f>SUM(AY171:AY173)</f>
        <v>-157.27999999998428</v>
      </c>
      <c r="AZ174" s="44"/>
      <c r="BA174" s="36">
        <f>SUM(BA171:BA173)</f>
        <v>200000</v>
      </c>
    </row>
    <row r="175" spans="1:53" ht="12.75" hidden="1">
      <c r="A175" s="404">
        <v>5</v>
      </c>
      <c r="B175" s="376" t="s">
        <v>423</v>
      </c>
      <c r="C175" s="377"/>
      <c r="D175" s="377"/>
      <c r="E175" s="378"/>
      <c r="F175" s="379" t="s">
        <v>259</v>
      </c>
      <c r="G175" s="380"/>
      <c r="H175" s="380"/>
      <c r="I175" s="380"/>
      <c r="J175" s="374" t="s">
        <v>260</v>
      </c>
      <c r="K175" s="374"/>
      <c r="L175" s="374"/>
      <c r="M175" s="374"/>
      <c r="N175" s="374"/>
      <c r="O175" s="374"/>
      <c r="P175" s="374"/>
      <c r="Q175" s="374"/>
      <c r="R175" s="374"/>
      <c r="S175" s="374"/>
      <c r="T175" s="374"/>
      <c r="U175" s="374"/>
      <c r="V175" s="374"/>
      <c r="W175" s="374"/>
      <c r="X175" s="374"/>
      <c r="Y175" s="374"/>
      <c r="Z175" s="374"/>
      <c r="AA175" s="374"/>
      <c r="AB175" s="374"/>
      <c r="AC175" s="374"/>
      <c r="AD175" s="374"/>
      <c r="AE175" s="387"/>
      <c r="AF175" s="369" t="s">
        <v>263</v>
      </c>
      <c r="AG175" s="370"/>
      <c r="AH175" s="370"/>
      <c r="AI175" s="371"/>
      <c r="AJ175" s="370" t="s">
        <v>263</v>
      </c>
      <c r="AK175" s="370"/>
      <c r="AL175" s="370"/>
      <c r="AM175" s="370"/>
      <c r="AN175" s="369"/>
      <c r="AO175" s="370"/>
      <c r="AP175" s="370"/>
      <c r="AQ175" s="371"/>
      <c r="AR175" s="24"/>
      <c r="AS175" s="65">
        <v>4000</v>
      </c>
      <c r="AT175" s="55">
        <v>4000</v>
      </c>
      <c r="AU175" s="55"/>
      <c r="AV175" s="56">
        <f>AT175+AU175</f>
        <v>4000</v>
      </c>
      <c r="AW175" s="32"/>
      <c r="AX175" s="28"/>
      <c r="AY175" s="29">
        <f>AX175-AV175</f>
        <v>-4000</v>
      </c>
      <c r="AZ175" s="25"/>
      <c r="BA175" s="30">
        <v>4000</v>
      </c>
    </row>
    <row r="176" spans="1:53" ht="12.75" hidden="1">
      <c r="A176" s="405"/>
      <c r="B176" s="376" t="s">
        <v>423</v>
      </c>
      <c r="C176" s="377"/>
      <c r="D176" s="377"/>
      <c r="E176" s="378"/>
      <c r="F176" s="379" t="s">
        <v>424</v>
      </c>
      <c r="G176" s="380"/>
      <c r="H176" s="380"/>
      <c r="I176" s="380"/>
      <c r="J176" s="374" t="s">
        <v>425</v>
      </c>
      <c r="K176" s="374"/>
      <c r="L176" s="374"/>
      <c r="M176" s="374"/>
      <c r="N176" s="374"/>
      <c r="O176" s="374"/>
      <c r="P176" s="374"/>
      <c r="Q176" s="374"/>
      <c r="R176" s="374"/>
      <c r="S176" s="374"/>
      <c r="T176" s="374"/>
      <c r="U176" s="374"/>
      <c r="V176" s="374"/>
      <c r="W176" s="374"/>
      <c r="X176" s="374"/>
      <c r="Y176" s="374"/>
      <c r="Z176" s="374"/>
      <c r="AA176" s="374"/>
      <c r="AB176" s="374"/>
      <c r="AC176" s="374"/>
      <c r="AD176" s="374"/>
      <c r="AE176" s="387"/>
      <c r="AF176" s="369" t="s">
        <v>426</v>
      </c>
      <c r="AG176" s="370"/>
      <c r="AH176" s="370"/>
      <c r="AI176" s="371"/>
      <c r="AJ176" s="370" t="s">
        <v>426</v>
      </c>
      <c r="AK176" s="370"/>
      <c r="AL176" s="370"/>
      <c r="AM176" s="370"/>
      <c r="AN176" s="369"/>
      <c r="AO176" s="370"/>
      <c r="AP176" s="370"/>
      <c r="AQ176" s="371"/>
      <c r="AR176" s="24"/>
      <c r="AS176" s="65">
        <v>46000</v>
      </c>
      <c r="AT176" s="55">
        <v>46000</v>
      </c>
      <c r="AU176" s="55"/>
      <c r="AV176" s="56">
        <f>AT176+AU176</f>
        <v>46000</v>
      </c>
      <c r="AW176" s="32"/>
      <c r="AX176" s="28"/>
      <c r="AY176" s="29">
        <f>AX176-AV176</f>
        <v>-46000</v>
      </c>
      <c r="AZ176" s="25"/>
      <c r="BA176" s="30">
        <v>46000</v>
      </c>
    </row>
    <row r="177" spans="1:53" s="2" customFormat="1" ht="12.75">
      <c r="A177" s="405"/>
      <c r="B177" s="382" t="s">
        <v>423</v>
      </c>
      <c r="C177" s="383"/>
      <c r="D177" s="383"/>
      <c r="E177" s="384"/>
      <c r="F177" s="396" t="s">
        <v>427</v>
      </c>
      <c r="G177" s="385"/>
      <c r="H177" s="385"/>
      <c r="I177" s="385"/>
      <c r="J177" s="385"/>
      <c r="K177" s="385"/>
      <c r="L177" s="385"/>
      <c r="M177" s="385"/>
      <c r="N177" s="385"/>
      <c r="O177" s="385"/>
      <c r="P177" s="385"/>
      <c r="Q177" s="385"/>
      <c r="R177" s="385"/>
      <c r="S177" s="385"/>
      <c r="T177" s="385"/>
      <c r="U177" s="385"/>
      <c r="V177" s="385"/>
      <c r="W177" s="385"/>
      <c r="X177" s="385"/>
      <c r="Y177" s="385"/>
      <c r="Z177" s="385"/>
      <c r="AA177" s="385"/>
      <c r="AB177" s="385"/>
      <c r="AC177" s="385"/>
      <c r="AD177" s="385"/>
      <c r="AE177" s="397"/>
      <c r="AF177" s="389" t="s">
        <v>91</v>
      </c>
      <c r="AG177" s="390"/>
      <c r="AH177" s="390"/>
      <c r="AI177" s="391"/>
      <c r="AJ177" s="390" t="s">
        <v>91</v>
      </c>
      <c r="AK177" s="390"/>
      <c r="AL177" s="390"/>
      <c r="AM177" s="390"/>
      <c r="AN177" s="389"/>
      <c r="AO177" s="390"/>
      <c r="AP177" s="390"/>
      <c r="AQ177" s="391"/>
      <c r="AR177" s="43"/>
      <c r="AS177" s="64">
        <f>SUM(AS175:AS176)</f>
        <v>50000</v>
      </c>
      <c r="AT177" s="57">
        <f>SUM(AT175:AT176)</f>
        <v>50000</v>
      </c>
      <c r="AU177" s="57">
        <f>SUM(AU175:AU176)</f>
        <v>0</v>
      </c>
      <c r="AV177" s="57">
        <f>SUM(AV175:AV176)</f>
        <v>50000</v>
      </c>
      <c r="AW177" s="33">
        <f>AV177-AT177</f>
        <v>0</v>
      </c>
      <c r="AX177" s="34">
        <f>SUM(AX175:AX176)</f>
        <v>0</v>
      </c>
      <c r="AY177" s="35">
        <f>SUM(AY175:AY176)</f>
        <v>-50000</v>
      </c>
      <c r="AZ177" s="44"/>
      <c r="BA177" s="36">
        <f>SUM(BA175:BA176)</f>
        <v>50000</v>
      </c>
    </row>
    <row r="178" spans="1:53" ht="12.75" hidden="1">
      <c r="A178" s="405"/>
      <c r="B178" s="376" t="s">
        <v>428</v>
      </c>
      <c r="C178" s="377"/>
      <c r="D178" s="377"/>
      <c r="E178" s="378"/>
      <c r="F178" s="379" t="s">
        <v>259</v>
      </c>
      <c r="G178" s="380"/>
      <c r="H178" s="380"/>
      <c r="I178" s="380"/>
      <c r="J178" s="374" t="s">
        <v>260</v>
      </c>
      <c r="K178" s="374"/>
      <c r="L178" s="374"/>
      <c r="M178" s="374"/>
      <c r="N178" s="374"/>
      <c r="O178" s="374"/>
      <c r="P178" s="374"/>
      <c r="Q178" s="374"/>
      <c r="R178" s="374"/>
      <c r="S178" s="374"/>
      <c r="T178" s="374"/>
      <c r="U178" s="374"/>
      <c r="V178" s="374"/>
      <c r="W178" s="374"/>
      <c r="X178" s="374"/>
      <c r="Y178" s="374"/>
      <c r="Z178" s="374"/>
      <c r="AA178" s="374"/>
      <c r="AB178" s="374"/>
      <c r="AC178" s="374"/>
      <c r="AD178" s="374"/>
      <c r="AE178" s="387"/>
      <c r="AF178" s="369" t="s">
        <v>429</v>
      </c>
      <c r="AG178" s="370"/>
      <c r="AH178" s="370"/>
      <c r="AI178" s="371"/>
      <c r="AJ178" s="370" t="s">
        <v>429</v>
      </c>
      <c r="AK178" s="370"/>
      <c r="AL178" s="370"/>
      <c r="AM178" s="370"/>
      <c r="AN178" s="369" t="s">
        <v>430</v>
      </c>
      <c r="AO178" s="370"/>
      <c r="AP178" s="370"/>
      <c r="AQ178" s="371"/>
      <c r="AR178" s="24"/>
      <c r="AS178" s="65">
        <v>13000</v>
      </c>
      <c r="AT178" s="55">
        <v>13000</v>
      </c>
      <c r="AU178" s="55"/>
      <c r="AV178" s="56">
        <f>AT178+AU178</f>
        <v>13000</v>
      </c>
      <c r="AW178" s="32"/>
      <c r="AX178" s="28">
        <v>5302</v>
      </c>
      <c r="AY178" s="29">
        <f>AX178-AV178</f>
        <v>-7698</v>
      </c>
      <c r="AZ178" s="25"/>
      <c r="BA178" s="30">
        <v>13000</v>
      </c>
    </row>
    <row r="179" spans="1:53" ht="12.75" hidden="1">
      <c r="A179" s="405"/>
      <c r="B179" s="376" t="s">
        <v>428</v>
      </c>
      <c r="C179" s="377"/>
      <c r="D179" s="377"/>
      <c r="E179" s="378"/>
      <c r="F179" s="379" t="s">
        <v>142</v>
      </c>
      <c r="G179" s="380"/>
      <c r="H179" s="380"/>
      <c r="I179" s="380"/>
      <c r="J179" s="374" t="s">
        <v>143</v>
      </c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  <c r="Y179" s="374"/>
      <c r="Z179" s="374"/>
      <c r="AA179" s="374"/>
      <c r="AB179" s="374"/>
      <c r="AC179" s="374"/>
      <c r="AD179" s="374"/>
      <c r="AE179" s="387"/>
      <c r="AF179" s="369"/>
      <c r="AG179" s="370"/>
      <c r="AH179" s="370"/>
      <c r="AI179" s="371"/>
      <c r="AJ179" s="370" t="s">
        <v>34</v>
      </c>
      <c r="AK179" s="370"/>
      <c r="AL179" s="370"/>
      <c r="AM179" s="370"/>
      <c r="AN179" s="369" t="s">
        <v>431</v>
      </c>
      <c r="AO179" s="370"/>
      <c r="AP179" s="370"/>
      <c r="AQ179" s="371"/>
      <c r="AR179" s="24"/>
      <c r="AS179" s="65"/>
      <c r="AT179" s="55">
        <v>11000</v>
      </c>
      <c r="AU179" s="55">
        <v>7000</v>
      </c>
      <c r="AV179" s="56">
        <f>AT179+AU179</f>
        <v>18000</v>
      </c>
      <c r="AW179" s="32"/>
      <c r="AX179" s="28">
        <v>92440</v>
      </c>
      <c r="AY179" s="29">
        <f>AX179-AV179</f>
        <v>74440</v>
      </c>
      <c r="AZ179" s="25"/>
      <c r="BA179" s="30"/>
    </row>
    <row r="180" spans="1:53" ht="12.75" hidden="1">
      <c r="A180" s="408"/>
      <c r="B180" s="376" t="s">
        <v>428</v>
      </c>
      <c r="C180" s="377"/>
      <c r="D180" s="377"/>
      <c r="E180" s="378"/>
      <c r="F180" s="379" t="s">
        <v>424</v>
      </c>
      <c r="G180" s="380"/>
      <c r="H180" s="380"/>
      <c r="I180" s="380"/>
      <c r="J180" s="374" t="s">
        <v>425</v>
      </c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4"/>
      <c r="V180" s="374"/>
      <c r="W180" s="374"/>
      <c r="X180" s="374"/>
      <c r="Y180" s="374"/>
      <c r="Z180" s="374"/>
      <c r="AA180" s="374"/>
      <c r="AB180" s="374"/>
      <c r="AC180" s="374"/>
      <c r="AD180" s="374"/>
      <c r="AE180" s="387"/>
      <c r="AF180" s="369" t="s">
        <v>377</v>
      </c>
      <c r="AG180" s="370"/>
      <c r="AH180" s="370"/>
      <c r="AI180" s="371"/>
      <c r="AJ180" s="370" t="s">
        <v>377</v>
      </c>
      <c r="AK180" s="370"/>
      <c r="AL180" s="370"/>
      <c r="AM180" s="370"/>
      <c r="AN180" s="369"/>
      <c r="AO180" s="370"/>
      <c r="AP180" s="370"/>
      <c r="AQ180" s="371"/>
      <c r="AR180" s="24"/>
      <c r="AS180" s="65">
        <v>17000</v>
      </c>
      <c r="AT180" s="55">
        <v>17000</v>
      </c>
      <c r="AU180" s="55">
        <v>0</v>
      </c>
      <c r="AV180" s="56">
        <f>AT180+AU180</f>
        <v>17000</v>
      </c>
      <c r="AW180" s="32"/>
      <c r="AX180" s="28"/>
      <c r="AY180" s="29">
        <f>AX180-AV180</f>
        <v>-17000</v>
      </c>
      <c r="AZ180" s="25"/>
      <c r="BA180" s="30">
        <v>17000</v>
      </c>
    </row>
    <row r="181" spans="1:53" s="2" customFormat="1" ht="12.75">
      <c r="A181" s="408"/>
      <c r="B181" s="382" t="s">
        <v>428</v>
      </c>
      <c r="C181" s="383"/>
      <c r="D181" s="383"/>
      <c r="E181" s="384"/>
      <c r="F181" s="396" t="s">
        <v>432</v>
      </c>
      <c r="G181" s="385"/>
      <c r="H181" s="385"/>
      <c r="I181" s="385"/>
      <c r="J181" s="385"/>
      <c r="K181" s="385"/>
      <c r="L181" s="385"/>
      <c r="M181" s="385"/>
      <c r="N181" s="385"/>
      <c r="O181" s="385"/>
      <c r="P181" s="385"/>
      <c r="Q181" s="385"/>
      <c r="R181" s="385"/>
      <c r="S181" s="385"/>
      <c r="T181" s="385"/>
      <c r="U181" s="385"/>
      <c r="V181" s="385"/>
      <c r="W181" s="385"/>
      <c r="X181" s="385"/>
      <c r="Y181" s="385"/>
      <c r="Z181" s="385"/>
      <c r="AA181" s="385"/>
      <c r="AB181" s="385"/>
      <c r="AC181" s="385"/>
      <c r="AD181" s="385"/>
      <c r="AE181" s="397"/>
      <c r="AF181" s="389" t="s">
        <v>282</v>
      </c>
      <c r="AG181" s="390"/>
      <c r="AH181" s="390"/>
      <c r="AI181" s="391"/>
      <c r="AJ181" s="390" t="s">
        <v>433</v>
      </c>
      <c r="AK181" s="390"/>
      <c r="AL181" s="390"/>
      <c r="AM181" s="390"/>
      <c r="AN181" s="389" t="s">
        <v>434</v>
      </c>
      <c r="AO181" s="390"/>
      <c r="AP181" s="390"/>
      <c r="AQ181" s="391"/>
      <c r="AR181" s="43"/>
      <c r="AS181" s="64">
        <f>SUM(AS178:AS180)</f>
        <v>30000</v>
      </c>
      <c r="AT181" s="57">
        <f>SUM(AT178:AT180)</f>
        <v>41000</v>
      </c>
      <c r="AU181" s="57">
        <f>SUM(AU178:AU180)-7000</f>
        <v>0</v>
      </c>
      <c r="AV181" s="57">
        <f>SUM(AV178:AV180)</f>
        <v>48000</v>
      </c>
      <c r="AW181" s="33">
        <f>AV181-AT181</f>
        <v>7000</v>
      </c>
      <c r="AX181" s="34">
        <f>SUM(AX178:AX180)</f>
        <v>97742</v>
      </c>
      <c r="AY181" s="35">
        <f>SUM(AY178:AY180)</f>
        <v>49742</v>
      </c>
      <c r="AZ181" s="44"/>
      <c r="BA181" s="36">
        <f>SUM(BA178:BA180)</f>
        <v>30000</v>
      </c>
    </row>
    <row r="182" spans="1:53" ht="12.75" hidden="1">
      <c r="A182" s="408"/>
      <c r="B182" s="376" t="s">
        <v>99</v>
      </c>
      <c r="C182" s="377"/>
      <c r="D182" s="377"/>
      <c r="E182" s="378"/>
      <c r="F182" s="379" t="s">
        <v>235</v>
      </c>
      <c r="G182" s="380"/>
      <c r="H182" s="380"/>
      <c r="I182" s="380"/>
      <c r="J182" s="374" t="s">
        <v>236</v>
      </c>
      <c r="K182" s="374"/>
      <c r="L182" s="374"/>
      <c r="M182" s="374"/>
      <c r="N182" s="374"/>
      <c r="O182" s="374"/>
      <c r="P182" s="374"/>
      <c r="Q182" s="374"/>
      <c r="R182" s="374"/>
      <c r="S182" s="374"/>
      <c r="T182" s="374"/>
      <c r="U182" s="374"/>
      <c r="V182" s="374"/>
      <c r="W182" s="374"/>
      <c r="X182" s="374"/>
      <c r="Y182" s="374"/>
      <c r="Z182" s="374"/>
      <c r="AA182" s="374"/>
      <c r="AB182" s="374"/>
      <c r="AC182" s="374"/>
      <c r="AD182" s="374"/>
      <c r="AE182" s="387"/>
      <c r="AF182" s="369" t="s">
        <v>435</v>
      </c>
      <c r="AG182" s="370"/>
      <c r="AH182" s="370"/>
      <c r="AI182" s="371"/>
      <c r="AJ182" s="370" t="s">
        <v>436</v>
      </c>
      <c r="AK182" s="370"/>
      <c r="AL182" s="370"/>
      <c r="AM182" s="370"/>
      <c r="AN182" s="369" t="s">
        <v>437</v>
      </c>
      <c r="AO182" s="370"/>
      <c r="AP182" s="370"/>
      <c r="AQ182" s="371"/>
      <c r="AR182" s="24"/>
      <c r="AS182" s="65">
        <v>1829000</v>
      </c>
      <c r="AT182" s="55">
        <v>2309000</v>
      </c>
      <c r="AU182" s="55"/>
      <c r="AV182" s="56">
        <f aca="true" t="shared" si="11" ref="AV182:AV192">AT182+AU182</f>
        <v>2309000</v>
      </c>
      <c r="AW182" s="32"/>
      <c r="AX182" s="28">
        <v>1971602</v>
      </c>
      <c r="AY182" s="29">
        <f aca="true" t="shared" si="12" ref="AY182:AY207">AX182-AV182</f>
        <v>-337398</v>
      </c>
      <c r="AZ182" s="25"/>
      <c r="BA182" s="30">
        <f>1829000+105000</f>
        <v>1934000</v>
      </c>
    </row>
    <row r="183" spans="1:53" ht="12.75" hidden="1">
      <c r="A183" s="408"/>
      <c r="B183" s="376" t="s">
        <v>99</v>
      </c>
      <c r="C183" s="377"/>
      <c r="D183" s="377"/>
      <c r="E183" s="378"/>
      <c r="F183" s="379" t="s">
        <v>242</v>
      </c>
      <c r="G183" s="380"/>
      <c r="H183" s="380"/>
      <c r="I183" s="380"/>
      <c r="J183" s="374" t="s">
        <v>243</v>
      </c>
      <c r="K183" s="374"/>
      <c r="L183" s="374"/>
      <c r="M183" s="374"/>
      <c r="N183" s="374"/>
      <c r="O183" s="374"/>
      <c r="P183" s="374"/>
      <c r="Q183" s="374"/>
      <c r="R183" s="374"/>
      <c r="S183" s="374"/>
      <c r="T183" s="374"/>
      <c r="U183" s="374"/>
      <c r="V183" s="374"/>
      <c r="W183" s="374"/>
      <c r="X183" s="374"/>
      <c r="Y183" s="374"/>
      <c r="Z183" s="374"/>
      <c r="AA183" s="374"/>
      <c r="AB183" s="374"/>
      <c r="AC183" s="374"/>
      <c r="AD183" s="374"/>
      <c r="AE183" s="387"/>
      <c r="AF183" s="369" t="s">
        <v>166</v>
      </c>
      <c r="AG183" s="370"/>
      <c r="AH183" s="370"/>
      <c r="AI183" s="371"/>
      <c r="AJ183" s="370" t="s">
        <v>438</v>
      </c>
      <c r="AK183" s="370"/>
      <c r="AL183" s="370"/>
      <c r="AM183" s="370"/>
      <c r="AN183" s="369" t="s">
        <v>439</v>
      </c>
      <c r="AO183" s="370"/>
      <c r="AP183" s="370"/>
      <c r="AQ183" s="371"/>
      <c r="AR183" s="24"/>
      <c r="AS183" s="65">
        <v>164000</v>
      </c>
      <c r="AT183" s="55">
        <v>576000</v>
      </c>
      <c r="AU183" s="55"/>
      <c r="AV183" s="56">
        <f t="shared" si="11"/>
        <v>576000</v>
      </c>
      <c r="AW183" s="32"/>
      <c r="AX183" s="28">
        <v>504874</v>
      </c>
      <c r="AY183" s="29">
        <f t="shared" si="12"/>
        <v>-71126</v>
      </c>
      <c r="AZ183" s="25"/>
      <c r="BA183" s="30">
        <f>164000*0+456000+30000</f>
        <v>486000</v>
      </c>
    </row>
    <row r="184" spans="1:53" ht="12.75" hidden="1">
      <c r="A184" s="408"/>
      <c r="B184" s="376" t="s">
        <v>99</v>
      </c>
      <c r="C184" s="377"/>
      <c r="D184" s="377"/>
      <c r="E184" s="378"/>
      <c r="F184" s="379" t="s">
        <v>246</v>
      </c>
      <c r="G184" s="380"/>
      <c r="H184" s="380"/>
      <c r="I184" s="380"/>
      <c r="J184" s="374" t="s">
        <v>247</v>
      </c>
      <c r="K184" s="374"/>
      <c r="L184" s="374"/>
      <c r="M184" s="374"/>
      <c r="N184" s="374"/>
      <c r="O184" s="374"/>
      <c r="P184" s="374"/>
      <c r="Q184" s="374"/>
      <c r="R184" s="374"/>
      <c r="S184" s="374"/>
      <c r="T184" s="374"/>
      <c r="U184" s="374"/>
      <c r="V184" s="374"/>
      <c r="W184" s="374"/>
      <c r="X184" s="374"/>
      <c r="Y184" s="374"/>
      <c r="Z184" s="374"/>
      <c r="AA184" s="374"/>
      <c r="AB184" s="374"/>
      <c r="AC184" s="374"/>
      <c r="AD184" s="374"/>
      <c r="AE184" s="387"/>
      <c r="AF184" s="369" t="s">
        <v>440</v>
      </c>
      <c r="AG184" s="370"/>
      <c r="AH184" s="370"/>
      <c r="AI184" s="371"/>
      <c r="AJ184" s="370" t="s">
        <v>441</v>
      </c>
      <c r="AK184" s="370"/>
      <c r="AL184" s="370"/>
      <c r="AM184" s="370"/>
      <c r="AN184" s="369" t="s">
        <v>442</v>
      </c>
      <c r="AO184" s="370"/>
      <c r="AP184" s="370"/>
      <c r="AQ184" s="371"/>
      <c r="AR184" s="24"/>
      <c r="AS184" s="65">
        <v>456000</v>
      </c>
      <c r="AT184" s="55">
        <v>207000</v>
      </c>
      <c r="AU184" s="55"/>
      <c r="AV184" s="56">
        <f t="shared" si="11"/>
        <v>207000</v>
      </c>
      <c r="AW184" s="32"/>
      <c r="AX184" s="28">
        <v>181737</v>
      </c>
      <c r="AY184" s="29">
        <f t="shared" si="12"/>
        <v>-25263</v>
      </c>
      <c r="AZ184" s="25"/>
      <c r="BA184" s="30">
        <f>456000*0+164000+10000</f>
        <v>174000</v>
      </c>
    </row>
    <row r="185" spans="1:53" ht="12.75" hidden="1">
      <c r="A185" s="408"/>
      <c r="B185" s="376" t="s">
        <v>99</v>
      </c>
      <c r="C185" s="377"/>
      <c r="D185" s="377"/>
      <c r="E185" s="378"/>
      <c r="F185" s="379" t="s">
        <v>250</v>
      </c>
      <c r="G185" s="380"/>
      <c r="H185" s="380"/>
      <c r="I185" s="380"/>
      <c r="J185" s="374" t="s">
        <v>251</v>
      </c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  <c r="X185" s="374"/>
      <c r="Y185" s="374"/>
      <c r="Z185" s="374"/>
      <c r="AA185" s="374"/>
      <c r="AB185" s="374"/>
      <c r="AC185" s="374"/>
      <c r="AD185" s="374"/>
      <c r="AE185" s="387"/>
      <c r="AF185" s="369" t="s">
        <v>321</v>
      </c>
      <c r="AG185" s="370"/>
      <c r="AH185" s="370"/>
      <c r="AI185" s="371"/>
      <c r="AJ185" s="370" t="s">
        <v>321</v>
      </c>
      <c r="AK185" s="370"/>
      <c r="AL185" s="370"/>
      <c r="AM185" s="370"/>
      <c r="AN185" s="369" t="s">
        <v>443</v>
      </c>
      <c r="AO185" s="370"/>
      <c r="AP185" s="370"/>
      <c r="AQ185" s="371"/>
      <c r="AR185" s="24"/>
      <c r="AS185" s="65">
        <v>7000</v>
      </c>
      <c r="AT185" s="55">
        <v>7000</v>
      </c>
      <c r="AU185" s="56">
        <v>4000</v>
      </c>
      <c r="AV185" s="56">
        <f t="shared" si="11"/>
        <v>11000</v>
      </c>
      <c r="AW185" s="32"/>
      <c r="AX185" s="28">
        <v>10819</v>
      </c>
      <c r="AY185" s="29">
        <f t="shared" si="12"/>
        <v>-181</v>
      </c>
      <c r="AZ185" s="25"/>
      <c r="BA185" s="30">
        <f>7000+1000</f>
        <v>8000</v>
      </c>
    </row>
    <row r="186" spans="1:53" ht="12.75" hidden="1">
      <c r="A186" s="408"/>
      <c r="B186" s="376" t="s">
        <v>99</v>
      </c>
      <c r="C186" s="377"/>
      <c r="D186" s="377"/>
      <c r="E186" s="378"/>
      <c r="F186" s="379" t="s">
        <v>444</v>
      </c>
      <c r="G186" s="380"/>
      <c r="H186" s="380"/>
      <c r="I186" s="380"/>
      <c r="J186" s="374" t="s">
        <v>445</v>
      </c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  <c r="X186" s="374"/>
      <c r="Y186" s="374"/>
      <c r="Z186" s="374"/>
      <c r="AA186" s="374"/>
      <c r="AB186" s="374"/>
      <c r="AC186" s="374"/>
      <c r="AD186" s="374"/>
      <c r="AE186" s="387"/>
      <c r="AF186" s="369" t="s">
        <v>232</v>
      </c>
      <c r="AG186" s="370"/>
      <c r="AH186" s="370"/>
      <c r="AI186" s="371"/>
      <c r="AJ186" s="370" t="s">
        <v>232</v>
      </c>
      <c r="AK186" s="370"/>
      <c r="AL186" s="370"/>
      <c r="AM186" s="370"/>
      <c r="AN186" s="369" t="s">
        <v>446</v>
      </c>
      <c r="AO186" s="370"/>
      <c r="AP186" s="370"/>
      <c r="AQ186" s="371"/>
      <c r="AR186" s="24"/>
      <c r="AS186" s="65">
        <v>6000</v>
      </c>
      <c r="AT186" s="55">
        <v>6000</v>
      </c>
      <c r="AU186" s="55"/>
      <c r="AV186" s="56">
        <f t="shared" si="11"/>
        <v>6000</v>
      </c>
      <c r="AW186" s="32"/>
      <c r="AX186" s="28">
        <v>6302</v>
      </c>
      <c r="AY186" s="29">
        <f t="shared" si="12"/>
        <v>302</v>
      </c>
      <c r="AZ186" s="25"/>
      <c r="BA186" s="30">
        <v>6000</v>
      </c>
    </row>
    <row r="187" spans="1:53" ht="12.75" hidden="1">
      <c r="A187" s="408"/>
      <c r="B187" s="376" t="s">
        <v>99</v>
      </c>
      <c r="C187" s="377"/>
      <c r="D187" s="377"/>
      <c r="E187" s="378"/>
      <c r="F187" s="379" t="s">
        <v>254</v>
      </c>
      <c r="G187" s="380"/>
      <c r="H187" s="380"/>
      <c r="I187" s="380"/>
      <c r="J187" s="374" t="s">
        <v>255</v>
      </c>
      <c r="K187" s="374"/>
      <c r="L187" s="374"/>
      <c r="M187" s="374"/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  <c r="X187" s="374"/>
      <c r="Y187" s="374"/>
      <c r="Z187" s="374"/>
      <c r="AA187" s="374"/>
      <c r="AB187" s="374"/>
      <c r="AC187" s="374"/>
      <c r="AD187" s="374"/>
      <c r="AE187" s="387"/>
      <c r="AF187" s="369"/>
      <c r="AG187" s="370"/>
      <c r="AH187" s="370"/>
      <c r="AI187" s="371"/>
      <c r="AJ187" s="370"/>
      <c r="AK187" s="370"/>
      <c r="AL187" s="370"/>
      <c r="AM187" s="370"/>
      <c r="AN187" s="369" t="s">
        <v>447</v>
      </c>
      <c r="AO187" s="370"/>
      <c r="AP187" s="370"/>
      <c r="AQ187" s="371"/>
      <c r="AR187" s="24"/>
      <c r="AS187" s="65"/>
      <c r="AT187" s="55"/>
      <c r="AU187" s="55"/>
      <c r="AV187" s="56">
        <f t="shared" si="11"/>
        <v>0</v>
      </c>
      <c r="AW187" s="32"/>
      <c r="AX187" s="28">
        <v>230</v>
      </c>
      <c r="AY187" s="29">
        <f t="shared" si="12"/>
        <v>230</v>
      </c>
      <c r="AZ187" s="25"/>
      <c r="BA187" s="30"/>
    </row>
    <row r="188" spans="1:53" ht="12.75" hidden="1">
      <c r="A188" s="408"/>
      <c r="B188" s="376" t="s">
        <v>99</v>
      </c>
      <c r="C188" s="377"/>
      <c r="D188" s="377"/>
      <c r="E188" s="378"/>
      <c r="F188" s="379" t="s">
        <v>257</v>
      </c>
      <c r="G188" s="380"/>
      <c r="H188" s="380"/>
      <c r="I188" s="380"/>
      <c r="J188" s="374" t="s">
        <v>258</v>
      </c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87"/>
      <c r="AF188" s="369"/>
      <c r="AG188" s="370"/>
      <c r="AH188" s="370"/>
      <c r="AI188" s="371"/>
      <c r="AJ188" s="370" t="s">
        <v>219</v>
      </c>
      <c r="AK188" s="370"/>
      <c r="AL188" s="370"/>
      <c r="AM188" s="370"/>
      <c r="AN188" s="369" t="s">
        <v>448</v>
      </c>
      <c r="AO188" s="370"/>
      <c r="AP188" s="370"/>
      <c r="AQ188" s="371"/>
      <c r="AR188" s="24"/>
      <c r="AS188" s="65"/>
      <c r="AT188" s="55">
        <v>36000</v>
      </c>
      <c r="AU188" s="55"/>
      <c r="AV188" s="56">
        <f t="shared" si="11"/>
        <v>36000</v>
      </c>
      <c r="AW188" s="32"/>
      <c r="AX188" s="28">
        <v>35419</v>
      </c>
      <c r="AY188" s="29">
        <f t="shared" si="12"/>
        <v>-581</v>
      </c>
      <c r="AZ188" s="25"/>
      <c r="BA188" s="30"/>
    </row>
    <row r="189" spans="1:53" ht="12.75" hidden="1">
      <c r="A189" s="408"/>
      <c r="B189" s="376" t="s">
        <v>99</v>
      </c>
      <c r="C189" s="377"/>
      <c r="D189" s="377"/>
      <c r="E189" s="378"/>
      <c r="F189" s="379" t="s">
        <v>259</v>
      </c>
      <c r="G189" s="380"/>
      <c r="H189" s="380"/>
      <c r="I189" s="380"/>
      <c r="J189" s="374" t="s">
        <v>260</v>
      </c>
      <c r="K189" s="374"/>
      <c r="L189" s="374"/>
      <c r="M189" s="374"/>
      <c r="N189" s="374"/>
      <c r="O189" s="374"/>
      <c r="P189" s="374"/>
      <c r="Q189" s="374"/>
      <c r="R189" s="374"/>
      <c r="S189" s="374"/>
      <c r="T189" s="374"/>
      <c r="U189" s="374"/>
      <c r="V189" s="374"/>
      <c r="W189" s="374"/>
      <c r="X189" s="374"/>
      <c r="Y189" s="374"/>
      <c r="Z189" s="374"/>
      <c r="AA189" s="374"/>
      <c r="AB189" s="374"/>
      <c r="AC189" s="374"/>
      <c r="AD189" s="374"/>
      <c r="AE189" s="387"/>
      <c r="AF189" s="369" t="s">
        <v>322</v>
      </c>
      <c r="AG189" s="370"/>
      <c r="AH189" s="370"/>
      <c r="AI189" s="371"/>
      <c r="AJ189" s="370" t="s">
        <v>449</v>
      </c>
      <c r="AK189" s="370"/>
      <c r="AL189" s="370"/>
      <c r="AM189" s="370"/>
      <c r="AN189" s="369" t="s">
        <v>450</v>
      </c>
      <c r="AO189" s="370"/>
      <c r="AP189" s="370"/>
      <c r="AQ189" s="371"/>
      <c r="AR189" s="24"/>
      <c r="AS189" s="65">
        <v>25000</v>
      </c>
      <c r="AT189" s="55">
        <v>121000</v>
      </c>
      <c r="AU189" s="55"/>
      <c r="AV189" s="56">
        <f t="shared" si="11"/>
        <v>121000</v>
      </c>
      <c r="AW189" s="32"/>
      <c r="AX189" s="28">
        <v>78119</v>
      </c>
      <c r="AY189" s="29">
        <f t="shared" si="12"/>
        <v>-42881</v>
      </c>
      <c r="AZ189" s="25"/>
      <c r="BA189" s="30">
        <v>25000</v>
      </c>
    </row>
    <row r="190" spans="1:53" ht="12.75" hidden="1">
      <c r="A190" s="408"/>
      <c r="B190" s="376" t="s">
        <v>99</v>
      </c>
      <c r="C190" s="377"/>
      <c r="D190" s="377"/>
      <c r="E190" s="378"/>
      <c r="F190" s="379" t="s">
        <v>451</v>
      </c>
      <c r="G190" s="380"/>
      <c r="H190" s="380"/>
      <c r="I190" s="380"/>
      <c r="J190" s="374" t="s">
        <v>452</v>
      </c>
      <c r="K190" s="374"/>
      <c r="L190" s="374"/>
      <c r="M190" s="374"/>
      <c r="N190" s="374"/>
      <c r="O190" s="374"/>
      <c r="P190" s="374"/>
      <c r="Q190" s="374"/>
      <c r="R190" s="374"/>
      <c r="S190" s="374"/>
      <c r="T190" s="374"/>
      <c r="U190" s="374"/>
      <c r="V190" s="374"/>
      <c r="W190" s="374"/>
      <c r="X190" s="374"/>
      <c r="Y190" s="374"/>
      <c r="Z190" s="374"/>
      <c r="AA190" s="374"/>
      <c r="AB190" s="374"/>
      <c r="AC190" s="374"/>
      <c r="AD190" s="374"/>
      <c r="AE190" s="387"/>
      <c r="AF190" s="369"/>
      <c r="AG190" s="370"/>
      <c r="AH190" s="370"/>
      <c r="AI190" s="371"/>
      <c r="AJ190" s="370" t="s">
        <v>429</v>
      </c>
      <c r="AK190" s="370"/>
      <c r="AL190" s="370"/>
      <c r="AM190" s="370"/>
      <c r="AN190" s="369" t="s">
        <v>453</v>
      </c>
      <c r="AO190" s="370"/>
      <c r="AP190" s="370"/>
      <c r="AQ190" s="371"/>
      <c r="AR190" s="24"/>
      <c r="AS190" s="65"/>
      <c r="AT190" s="55">
        <v>13000</v>
      </c>
      <c r="AU190" s="55"/>
      <c r="AV190" s="56">
        <f t="shared" si="11"/>
        <v>13000</v>
      </c>
      <c r="AW190" s="32"/>
      <c r="AX190" s="28">
        <v>11653.67</v>
      </c>
      <c r="AY190" s="29">
        <f t="shared" si="12"/>
        <v>-1346.33</v>
      </c>
      <c r="AZ190" s="25"/>
      <c r="BA190" s="30">
        <f>0+12000</f>
        <v>12000</v>
      </c>
    </row>
    <row r="191" spans="1:53" ht="12.75" hidden="1">
      <c r="A191" s="408"/>
      <c r="B191" s="376" t="s">
        <v>99</v>
      </c>
      <c r="C191" s="377"/>
      <c r="D191" s="377"/>
      <c r="E191" s="378"/>
      <c r="F191" s="379" t="s">
        <v>205</v>
      </c>
      <c r="G191" s="380"/>
      <c r="H191" s="380"/>
      <c r="I191" s="380"/>
      <c r="J191" s="374" t="s">
        <v>206</v>
      </c>
      <c r="K191" s="374"/>
      <c r="L191" s="374"/>
      <c r="M191" s="374"/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  <c r="X191" s="374"/>
      <c r="Y191" s="374"/>
      <c r="Z191" s="374"/>
      <c r="AA191" s="374"/>
      <c r="AB191" s="374"/>
      <c r="AC191" s="374"/>
      <c r="AD191" s="374"/>
      <c r="AE191" s="387"/>
      <c r="AF191" s="369" t="s">
        <v>193</v>
      </c>
      <c r="AG191" s="370"/>
      <c r="AH191" s="370"/>
      <c r="AI191" s="371"/>
      <c r="AJ191" s="370" t="s">
        <v>193</v>
      </c>
      <c r="AK191" s="370"/>
      <c r="AL191" s="370"/>
      <c r="AM191" s="370"/>
      <c r="AN191" s="369" t="s">
        <v>454</v>
      </c>
      <c r="AO191" s="370"/>
      <c r="AP191" s="370"/>
      <c r="AQ191" s="371"/>
      <c r="AR191" s="24"/>
      <c r="AS191" s="65">
        <v>16000</v>
      </c>
      <c r="AT191" s="55">
        <v>16000</v>
      </c>
      <c r="AU191" s="55"/>
      <c r="AV191" s="56">
        <f t="shared" si="11"/>
        <v>16000</v>
      </c>
      <c r="AW191" s="32"/>
      <c r="AX191" s="28">
        <v>8605</v>
      </c>
      <c r="AY191" s="29">
        <f t="shared" si="12"/>
        <v>-7395</v>
      </c>
      <c r="AZ191" s="25"/>
      <c r="BA191" s="30">
        <v>16000</v>
      </c>
    </row>
    <row r="192" spans="1:53" ht="12.75" hidden="1">
      <c r="A192" s="408"/>
      <c r="B192" s="376" t="s">
        <v>99</v>
      </c>
      <c r="C192" s="377"/>
      <c r="D192" s="377"/>
      <c r="E192" s="378"/>
      <c r="F192" s="379" t="s">
        <v>208</v>
      </c>
      <c r="G192" s="380"/>
      <c r="H192" s="380"/>
      <c r="I192" s="380"/>
      <c r="J192" s="374" t="s">
        <v>209</v>
      </c>
      <c r="K192" s="374"/>
      <c r="L192" s="374"/>
      <c r="M192" s="374"/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  <c r="X192" s="374"/>
      <c r="Y192" s="374"/>
      <c r="Z192" s="374"/>
      <c r="AA192" s="374"/>
      <c r="AB192" s="374"/>
      <c r="AC192" s="374"/>
      <c r="AD192" s="374"/>
      <c r="AE192" s="387"/>
      <c r="AF192" s="369" t="s">
        <v>455</v>
      </c>
      <c r="AG192" s="370"/>
      <c r="AH192" s="370"/>
      <c r="AI192" s="371"/>
      <c r="AJ192" s="370" t="s">
        <v>456</v>
      </c>
      <c r="AK192" s="370"/>
      <c r="AL192" s="370"/>
      <c r="AM192" s="370"/>
      <c r="AN192" s="369" t="s">
        <v>457</v>
      </c>
      <c r="AO192" s="370"/>
      <c r="AP192" s="370"/>
      <c r="AQ192" s="371"/>
      <c r="AR192" s="24"/>
      <c r="AS192" s="65">
        <v>62000</v>
      </c>
      <c r="AT192" s="55">
        <v>88000</v>
      </c>
      <c r="AU192" s="56">
        <f>12000*0+6000+30000</f>
        <v>36000</v>
      </c>
      <c r="AV192" s="56">
        <f t="shared" si="11"/>
        <v>124000</v>
      </c>
      <c r="AW192" s="32"/>
      <c r="AX192" s="28">
        <v>124183</v>
      </c>
      <c r="AY192" s="29">
        <f t="shared" si="12"/>
        <v>183</v>
      </c>
      <c r="AZ192" s="25"/>
      <c r="BA192" s="30">
        <f>62000+30000</f>
        <v>92000</v>
      </c>
    </row>
    <row r="193" spans="1:53" ht="12.75" hidden="1">
      <c r="A193" s="408"/>
      <c r="B193" s="376" t="s">
        <v>99</v>
      </c>
      <c r="C193" s="377"/>
      <c r="D193" s="377"/>
      <c r="E193" s="378"/>
      <c r="F193" s="379" t="s">
        <v>159</v>
      </c>
      <c r="G193" s="380"/>
      <c r="H193" s="380"/>
      <c r="I193" s="380"/>
      <c r="J193" s="374" t="s">
        <v>160</v>
      </c>
      <c r="K193" s="374"/>
      <c r="L193" s="374"/>
      <c r="M193" s="374"/>
      <c r="N193" s="374"/>
      <c r="O193" s="374"/>
      <c r="P193" s="374"/>
      <c r="Q193" s="374"/>
      <c r="R193" s="374"/>
      <c r="S193" s="374"/>
      <c r="T193" s="374"/>
      <c r="U193" s="374"/>
      <c r="V193" s="374"/>
      <c r="W193" s="374"/>
      <c r="X193" s="374"/>
      <c r="Y193" s="374"/>
      <c r="Z193" s="374"/>
      <c r="AA193" s="374"/>
      <c r="AB193" s="374"/>
      <c r="AC193" s="374"/>
      <c r="AD193" s="374"/>
      <c r="AE193" s="387"/>
      <c r="AF193" s="369" t="s">
        <v>458</v>
      </c>
      <c r="AG193" s="370"/>
      <c r="AH193" s="370"/>
      <c r="AI193" s="371"/>
      <c r="AJ193" s="370" t="s">
        <v>458</v>
      </c>
      <c r="AK193" s="370"/>
      <c r="AL193" s="370"/>
      <c r="AM193" s="370"/>
      <c r="AN193" s="369" t="s">
        <v>459</v>
      </c>
      <c r="AO193" s="370"/>
      <c r="AP193" s="370"/>
      <c r="AQ193" s="371"/>
      <c r="AR193" s="24"/>
      <c r="AS193" s="65">
        <v>52000</v>
      </c>
      <c r="AT193" s="55">
        <v>52000</v>
      </c>
      <c r="AU193" s="56">
        <f>AV193-AT193</f>
        <v>-40000</v>
      </c>
      <c r="AV193" s="55">
        <f>52000-40000</f>
        <v>12000</v>
      </c>
      <c r="AW193" s="27"/>
      <c r="AX193" s="28">
        <v>11724</v>
      </c>
      <c r="AY193" s="29">
        <f t="shared" si="12"/>
        <v>-276</v>
      </c>
      <c r="AZ193" s="25"/>
      <c r="BA193" s="30">
        <f>52000-30000</f>
        <v>22000</v>
      </c>
    </row>
    <row r="194" spans="1:53" ht="12.75" hidden="1">
      <c r="A194" s="408"/>
      <c r="B194" s="376" t="s">
        <v>99</v>
      </c>
      <c r="C194" s="377"/>
      <c r="D194" s="377"/>
      <c r="E194" s="378"/>
      <c r="F194" s="379" t="s">
        <v>460</v>
      </c>
      <c r="G194" s="380"/>
      <c r="H194" s="380"/>
      <c r="I194" s="380"/>
      <c r="J194" s="374" t="s">
        <v>461</v>
      </c>
      <c r="K194" s="374"/>
      <c r="L194" s="374"/>
      <c r="M194" s="374"/>
      <c r="N194" s="374"/>
      <c r="O194" s="374"/>
      <c r="P194" s="374"/>
      <c r="Q194" s="374"/>
      <c r="R194" s="374"/>
      <c r="S194" s="374"/>
      <c r="T194" s="374"/>
      <c r="U194" s="374"/>
      <c r="V194" s="374"/>
      <c r="W194" s="374"/>
      <c r="X194" s="374"/>
      <c r="Y194" s="374"/>
      <c r="Z194" s="374"/>
      <c r="AA194" s="374"/>
      <c r="AB194" s="374"/>
      <c r="AC194" s="374"/>
      <c r="AD194" s="374"/>
      <c r="AE194" s="387"/>
      <c r="AF194" s="369" t="s">
        <v>462</v>
      </c>
      <c r="AG194" s="370"/>
      <c r="AH194" s="370"/>
      <c r="AI194" s="371"/>
      <c r="AJ194" s="370" t="s">
        <v>462</v>
      </c>
      <c r="AK194" s="370"/>
      <c r="AL194" s="370"/>
      <c r="AM194" s="370"/>
      <c r="AN194" s="369" t="s">
        <v>463</v>
      </c>
      <c r="AO194" s="370"/>
      <c r="AP194" s="370"/>
      <c r="AQ194" s="371"/>
      <c r="AR194" s="24"/>
      <c r="AS194" s="65">
        <v>71000</v>
      </c>
      <c r="AT194" s="55">
        <v>71000</v>
      </c>
      <c r="AU194" s="55"/>
      <c r="AV194" s="56">
        <f aca="true" t="shared" si="13" ref="AV194:AV207">AT194+AU194</f>
        <v>71000</v>
      </c>
      <c r="AW194" s="32"/>
      <c r="AX194" s="28">
        <v>71465.63</v>
      </c>
      <c r="AY194" s="29">
        <f t="shared" si="12"/>
        <v>465.63000000000466</v>
      </c>
      <c r="AZ194" s="25"/>
      <c r="BA194" s="30">
        <v>71000</v>
      </c>
    </row>
    <row r="195" spans="1:53" ht="12.75" hidden="1">
      <c r="A195" s="408"/>
      <c r="B195" s="376" t="s">
        <v>99</v>
      </c>
      <c r="C195" s="377"/>
      <c r="D195" s="377"/>
      <c r="E195" s="378"/>
      <c r="F195" s="379" t="s">
        <v>269</v>
      </c>
      <c r="G195" s="380"/>
      <c r="H195" s="380"/>
      <c r="I195" s="380"/>
      <c r="J195" s="374" t="s">
        <v>270</v>
      </c>
      <c r="K195" s="374"/>
      <c r="L195" s="374"/>
      <c r="M195" s="374"/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  <c r="X195" s="374"/>
      <c r="Y195" s="374"/>
      <c r="Z195" s="374"/>
      <c r="AA195" s="374"/>
      <c r="AB195" s="374"/>
      <c r="AC195" s="374"/>
      <c r="AD195" s="374"/>
      <c r="AE195" s="387"/>
      <c r="AF195" s="369"/>
      <c r="AG195" s="370"/>
      <c r="AH195" s="370"/>
      <c r="AI195" s="371"/>
      <c r="AJ195" s="370"/>
      <c r="AK195" s="370"/>
      <c r="AL195" s="370"/>
      <c r="AM195" s="370"/>
      <c r="AN195" s="369" t="s">
        <v>464</v>
      </c>
      <c r="AO195" s="370"/>
      <c r="AP195" s="370"/>
      <c r="AQ195" s="371"/>
      <c r="AR195" s="24"/>
      <c r="AS195" s="65"/>
      <c r="AT195" s="55"/>
      <c r="AU195" s="55"/>
      <c r="AV195" s="56">
        <f t="shared" si="13"/>
        <v>0</v>
      </c>
      <c r="AW195" s="32"/>
      <c r="AX195" s="28">
        <v>653</v>
      </c>
      <c r="AY195" s="29">
        <f t="shared" si="12"/>
        <v>653</v>
      </c>
      <c r="AZ195" s="25"/>
      <c r="BA195" s="30"/>
    </row>
    <row r="196" spans="1:53" ht="12.75" hidden="1">
      <c r="A196" s="408"/>
      <c r="B196" s="376" t="s">
        <v>99</v>
      </c>
      <c r="C196" s="377"/>
      <c r="D196" s="377"/>
      <c r="E196" s="378"/>
      <c r="F196" s="379" t="s">
        <v>272</v>
      </c>
      <c r="G196" s="380"/>
      <c r="H196" s="380"/>
      <c r="I196" s="380"/>
      <c r="J196" s="374" t="s">
        <v>273</v>
      </c>
      <c r="K196" s="374"/>
      <c r="L196" s="374"/>
      <c r="M196" s="374"/>
      <c r="N196" s="374"/>
      <c r="O196" s="374"/>
      <c r="P196" s="374"/>
      <c r="Q196" s="374"/>
      <c r="R196" s="374"/>
      <c r="S196" s="374"/>
      <c r="T196" s="374"/>
      <c r="U196" s="374"/>
      <c r="V196" s="374"/>
      <c r="W196" s="374"/>
      <c r="X196" s="374"/>
      <c r="Y196" s="374"/>
      <c r="Z196" s="374"/>
      <c r="AA196" s="374"/>
      <c r="AB196" s="374"/>
      <c r="AC196" s="374"/>
      <c r="AD196" s="374"/>
      <c r="AE196" s="387"/>
      <c r="AF196" s="369" t="s">
        <v>465</v>
      </c>
      <c r="AG196" s="370"/>
      <c r="AH196" s="370"/>
      <c r="AI196" s="371"/>
      <c r="AJ196" s="370" t="s">
        <v>465</v>
      </c>
      <c r="AK196" s="370"/>
      <c r="AL196" s="370"/>
      <c r="AM196" s="370"/>
      <c r="AN196" s="369" t="s">
        <v>466</v>
      </c>
      <c r="AO196" s="370"/>
      <c r="AP196" s="370"/>
      <c r="AQ196" s="371"/>
      <c r="AR196" s="24"/>
      <c r="AS196" s="65">
        <v>64000</v>
      </c>
      <c r="AT196" s="55">
        <v>64000</v>
      </c>
      <c r="AU196" s="55"/>
      <c r="AV196" s="56">
        <f t="shared" si="13"/>
        <v>64000</v>
      </c>
      <c r="AW196" s="32"/>
      <c r="AX196" s="28">
        <v>49901</v>
      </c>
      <c r="AY196" s="29">
        <f t="shared" si="12"/>
        <v>-14099</v>
      </c>
      <c r="AZ196" s="25"/>
      <c r="BA196" s="30">
        <v>64000</v>
      </c>
    </row>
    <row r="197" spans="1:53" ht="12.75" hidden="1">
      <c r="A197" s="408"/>
      <c r="B197" s="376" t="s">
        <v>99</v>
      </c>
      <c r="C197" s="377"/>
      <c r="D197" s="377"/>
      <c r="E197" s="378"/>
      <c r="F197" s="379" t="s">
        <v>467</v>
      </c>
      <c r="G197" s="380"/>
      <c r="H197" s="380"/>
      <c r="I197" s="380"/>
      <c r="J197" s="374" t="s">
        <v>468</v>
      </c>
      <c r="K197" s="374"/>
      <c r="L197" s="374"/>
      <c r="M197" s="374"/>
      <c r="N197" s="374"/>
      <c r="O197" s="374"/>
      <c r="P197" s="374"/>
      <c r="Q197" s="374"/>
      <c r="R197" s="374"/>
      <c r="S197" s="374"/>
      <c r="T197" s="374"/>
      <c r="U197" s="374"/>
      <c r="V197" s="374"/>
      <c r="W197" s="374"/>
      <c r="X197" s="374"/>
      <c r="Y197" s="374"/>
      <c r="Z197" s="374"/>
      <c r="AA197" s="374"/>
      <c r="AB197" s="374"/>
      <c r="AC197" s="374"/>
      <c r="AD197" s="374"/>
      <c r="AE197" s="387"/>
      <c r="AF197" s="369" t="s">
        <v>305</v>
      </c>
      <c r="AG197" s="370"/>
      <c r="AH197" s="370"/>
      <c r="AI197" s="371"/>
      <c r="AJ197" s="370" t="s">
        <v>305</v>
      </c>
      <c r="AK197" s="370"/>
      <c r="AL197" s="370"/>
      <c r="AM197" s="370"/>
      <c r="AN197" s="369" t="s">
        <v>469</v>
      </c>
      <c r="AO197" s="370"/>
      <c r="AP197" s="370"/>
      <c r="AQ197" s="371"/>
      <c r="AR197" s="24"/>
      <c r="AS197" s="65">
        <v>15000</v>
      </c>
      <c r="AT197" s="55">
        <v>15000</v>
      </c>
      <c r="AU197" s="56">
        <v>-10000</v>
      </c>
      <c r="AV197" s="56">
        <f t="shared" si="13"/>
        <v>5000</v>
      </c>
      <c r="AW197" s="32"/>
      <c r="AX197" s="28">
        <v>3801</v>
      </c>
      <c r="AY197" s="29">
        <f t="shared" si="12"/>
        <v>-1199</v>
      </c>
      <c r="AZ197" s="25"/>
      <c r="BA197" s="30">
        <f>15000-10000</f>
        <v>5000</v>
      </c>
    </row>
    <row r="198" spans="1:53" ht="12.75" hidden="1">
      <c r="A198" s="408"/>
      <c r="B198" s="376" t="s">
        <v>99</v>
      </c>
      <c r="C198" s="377"/>
      <c r="D198" s="377"/>
      <c r="E198" s="378"/>
      <c r="F198" s="379" t="s">
        <v>276</v>
      </c>
      <c r="G198" s="380"/>
      <c r="H198" s="380"/>
      <c r="I198" s="380"/>
      <c r="J198" s="374" t="s">
        <v>277</v>
      </c>
      <c r="K198" s="374"/>
      <c r="L198" s="374"/>
      <c r="M198" s="374"/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  <c r="X198" s="374"/>
      <c r="Y198" s="374"/>
      <c r="Z198" s="374"/>
      <c r="AA198" s="374"/>
      <c r="AB198" s="374"/>
      <c r="AC198" s="374"/>
      <c r="AD198" s="374"/>
      <c r="AE198" s="387"/>
      <c r="AF198" s="369" t="s">
        <v>470</v>
      </c>
      <c r="AG198" s="370"/>
      <c r="AH198" s="370"/>
      <c r="AI198" s="371"/>
      <c r="AJ198" s="370" t="s">
        <v>470</v>
      </c>
      <c r="AK198" s="370"/>
      <c r="AL198" s="370"/>
      <c r="AM198" s="370"/>
      <c r="AN198" s="369" t="s">
        <v>471</v>
      </c>
      <c r="AO198" s="370"/>
      <c r="AP198" s="370"/>
      <c r="AQ198" s="371"/>
      <c r="AR198" s="24"/>
      <c r="AS198" s="65">
        <v>14000</v>
      </c>
      <c r="AT198" s="55">
        <v>14000</v>
      </c>
      <c r="AU198" s="55"/>
      <c r="AV198" s="56">
        <f t="shared" si="13"/>
        <v>14000</v>
      </c>
      <c r="AW198" s="32"/>
      <c r="AX198" s="28">
        <v>8010</v>
      </c>
      <c r="AY198" s="29">
        <f t="shared" si="12"/>
        <v>-5990</v>
      </c>
      <c r="AZ198" s="25"/>
      <c r="BA198" s="30">
        <v>14000</v>
      </c>
    </row>
    <row r="199" spans="1:53" ht="12.75" hidden="1">
      <c r="A199" s="408"/>
      <c r="B199" s="376" t="s">
        <v>99</v>
      </c>
      <c r="C199" s="377"/>
      <c r="D199" s="377"/>
      <c r="E199" s="378"/>
      <c r="F199" s="379" t="s">
        <v>142</v>
      </c>
      <c r="G199" s="380"/>
      <c r="H199" s="380"/>
      <c r="I199" s="380"/>
      <c r="J199" s="374" t="s">
        <v>143</v>
      </c>
      <c r="K199" s="374"/>
      <c r="L199" s="374"/>
      <c r="M199" s="374"/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  <c r="X199" s="374"/>
      <c r="Y199" s="374"/>
      <c r="Z199" s="374"/>
      <c r="AA199" s="374"/>
      <c r="AB199" s="374"/>
      <c r="AC199" s="374"/>
      <c r="AD199" s="374"/>
      <c r="AE199" s="387"/>
      <c r="AF199" s="369" t="s">
        <v>472</v>
      </c>
      <c r="AG199" s="370"/>
      <c r="AH199" s="370"/>
      <c r="AI199" s="371"/>
      <c r="AJ199" s="370" t="s">
        <v>472</v>
      </c>
      <c r="AK199" s="370"/>
      <c r="AL199" s="370"/>
      <c r="AM199" s="370"/>
      <c r="AN199" s="369" t="s">
        <v>473</v>
      </c>
      <c r="AO199" s="370"/>
      <c r="AP199" s="370"/>
      <c r="AQ199" s="371"/>
      <c r="AR199" s="24"/>
      <c r="AS199" s="65">
        <v>449000</v>
      </c>
      <c r="AT199" s="55">
        <v>449000</v>
      </c>
      <c r="AU199" s="55"/>
      <c r="AV199" s="56">
        <f t="shared" si="13"/>
        <v>449000</v>
      </c>
      <c r="AW199" s="32"/>
      <c r="AX199" s="28">
        <v>404485.68</v>
      </c>
      <c r="AY199" s="29">
        <f t="shared" si="12"/>
        <v>-44514.32000000001</v>
      </c>
      <c r="AZ199" s="25"/>
      <c r="BA199" s="30">
        <v>449000</v>
      </c>
    </row>
    <row r="200" spans="1:53" ht="12.75" hidden="1">
      <c r="A200" s="408"/>
      <c r="B200" s="376" t="s">
        <v>99</v>
      </c>
      <c r="C200" s="377"/>
      <c r="D200" s="377"/>
      <c r="E200" s="378"/>
      <c r="F200" s="379" t="s">
        <v>146</v>
      </c>
      <c r="G200" s="380"/>
      <c r="H200" s="380"/>
      <c r="I200" s="380"/>
      <c r="J200" s="374" t="s">
        <v>147</v>
      </c>
      <c r="K200" s="374"/>
      <c r="L200" s="374"/>
      <c r="M200" s="374"/>
      <c r="N200" s="374"/>
      <c r="O200" s="374"/>
      <c r="P200" s="374"/>
      <c r="Q200" s="374"/>
      <c r="R200" s="374"/>
      <c r="S200" s="374"/>
      <c r="T200" s="374"/>
      <c r="U200" s="374"/>
      <c r="V200" s="374"/>
      <c r="W200" s="374"/>
      <c r="X200" s="374"/>
      <c r="Y200" s="374"/>
      <c r="Z200" s="374"/>
      <c r="AA200" s="374"/>
      <c r="AB200" s="374"/>
      <c r="AC200" s="374"/>
      <c r="AD200" s="374"/>
      <c r="AE200" s="387"/>
      <c r="AF200" s="369" t="s">
        <v>474</v>
      </c>
      <c r="AG200" s="370"/>
      <c r="AH200" s="370"/>
      <c r="AI200" s="371"/>
      <c r="AJ200" s="370" t="s">
        <v>475</v>
      </c>
      <c r="AK200" s="370"/>
      <c r="AL200" s="370"/>
      <c r="AM200" s="370"/>
      <c r="AN200" s="369" t="s">
        <v>476</v>
      </c>
      <c r="AO200" s="370"/>
      <c r="AP200" s="370"/>
      <c r="AQ200" s="371"/>
      <c r="AR200" s="24"/>
      <c r="AS200" s="65">
        <v>80000</v>
      </c>
      <c r="AT200" s="55">
        <v>95000</v>
      </c>
      <c r="AU200" s="55"/>
      <c r="AV200" s="56">
        <f t="shared" si="13"/>
        <v>95000</v>
      </c>
      <c r="AW200" s="32"/>
      <c r="AX200" s="28">
        <v>84843</v>
      </c>
      <c r="AY200" s="29">
        <f t="shared" si="12"/>
        <v>-10157</v>
      </c>
      <c r="AZ200" s="25"/>
      <c r="BA200" s="30">
        <v>80000</v>
      </c>
    </row>
    <row r="201" spans="1:53" ht="12.75" hidden="1">
      <c r="A201" s="408"/>
      <c r="B201" s="376" t="s">
        <v>99</v>
      </c>
      <c r="C201" s="377"/>
      <c r="D201" s="377"/>
      <c r="E201" s="378"/>
      <c r="F201" s="379" t="s">
        <v>477</v>
      </c>
      <c r="G201" s="380"/>
      <c r="H201" s="380"/>
      <c r="I201" s="380"/>
      <c r="J201" s="374" t="s">
        <v>478</v>
      </c>
      <c r="K201" s="374"/>
      <c r="L201" s="374"/>
      <c r="M201" s="374"/>
      <c r="N201" s="374"/>
      <c r="O201" s="374"/>
      <c r="P201" s="374"/>
      <c r="Q201" s="374"/>
      <c r="R201" s="374"/>
      <c r="S201" s="374"/>
      <c r="T201" s="374"/>
      <c r="U201" s="374"/>
      <c r="V201" s="374"/>
      <c r="W201" s="374"/>
      <c r="X201" s="374"/>
      <c r="Y201" s="374"/>
      <c r="Z201" s="374"/>
      <c r="AA201" s="374"/>
      <c r="AB201" s="374"/>
      <c r="AC201" s="374"/>
      <c r="AD201" s="374"/>
      <c r="AE201" s="387"/>
      <c r="AF201" s="369"/>
      <c r="AG201" s="370"/>
      <c r="AH201" s="370"/>
      <c r="AI201" s="371"/>
      <c r="AJ201" s="370"/>
      <c r="AK201" s="370"/>
      <c r="AL201" s="370"/>
      <c r="AM201" s="370"/>
      <c r="AN201" s="369" t="s">
        <v>479</v>
      </c>
      <c r="AO201" s="370"/>
      <c r="AP201" s="370"/>
      <c r="AQ201" s="371"/>
      <c r="AR201" s="24"/>
      <c r="AS201" s="65"/>
      <c r="AT201" s="55"/>
      <c r="AU201" s="55"/>
      <c r="AV201" s="56">
        <f t="shared" si="13"/>
        <v>0</v>
      </c>
      <c r="AW201" s="32"/>
      <c r="AX201" s="28">
        <v>192</v>
      </c>
      <c r="AY201" s="29">
        <f t="shared" si="12"/>
        <v>192</v>
      </c>
      <c r="AZ201" s="25"/>
      <c r="BA201" s="30"/>
    </row>
    <row r="202" spans="1:53" ht="12.75" hidden="1">
      <c r="A202" s="408"/>
      <c r="B202" s="376" t="s">
        <v>99</v>
      </c>
      <c r="C202" s="377"/>
      <c r="D202" s="377"/>
      <c r="E202" s="378"/>
      <c r="F202" s="379" t="s">
        <v>480</v>
      </c>
      <c r="G202" s="380"/>
      <c r="H202" s="380"/>
      <c r="I202" s="380"/>
      <c r="J202" s="374" t="s">
        <v>481</v>
      </c>
      <c r="K202" s="374"/>
      <c r="L202" s="374"/>
      <c r="M202" s="374"/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  <c r="X202" s="374"/>
      <c r="Y202" s="374"/>
      <c r="Z202" s="374"/>
      <c r="AA202" s="374"/>
      <c r="AB202" s="374"/>
      <c r="AC202" s="374"/>
      <c r="AD202" s="374"/>
      <c r="AE202" s="387"/>
      <c r="AF202" s="369"/>
      <c r="AG202" s="370"/>
      <c r="AH202" s="370"/>
      <c r="AI202" s="371"/>
      <c r="AJ202" s="370" t="s">
        <v>482</v>
      </c>
      <c r="AK202" s="370"/>
      <c r="AL202" s="370"/>
      <c r="AM202" s="370"/>
      <c r="AN202" s="369" t="s">
        <v>483</v>
      </c>
      <c r="AO202" s="370"/>
      <c r="AP202" s="370"/>
      <c r="AQ202" s="371"/>
      <c r="AR202" s="24"/>
      <c r="AS202" s="65"/>
      <c r="AT202" s="55">
        <v>86000</v>
      </c>
      <c r="AU202" s="55"/>
      <c r="AV202" s="56">
        <f t="shared" si="13"/>
        <v>86000</v>
      </c>
      <c r="AW202" s="32"/>
      <c r="AX202" s="28">
        <v>84207.23</v>
      </c>
      <c r="AY202" s="29">
        <f t="shared" si="12"/>
        <v>-1792.770000000004</v>
      </c>
      <c r="AZ202" s="25"/>
      <c r="BA202" s="30"/>
    </row>
    <row r="203" spans="1:53" ht="12.75" hidden="1">
      <c r="A203" s="408"/>
      <c r="B203" s="376" t="s">
        <v>99</v>
      </c>
      <c r="C203" s="377"/>
      <c r="D203" s="377"/>
      <c r="E203" s="378"/>
      <c r="F203" s="379" t="s">
        <v>284</v>
      </c>
      <c r="G203" s="380"/>
      <c r="H203" s="380"/>
      <c r="I203" s="380"/>
      <c r="J203" s="374" t="s">
        <v>285</v>
      </c>
      <c r="K203" s="374"/>
      <c r="L203" s="374"/>
      <c r="M203" s="374"/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  <c r="X203" s="374"/>
      <c r="Y203" s="374"/>
      <c r="Z203" s="374"/>
      <c r="AA203" s="374"/>
      <c r="AB203" s="374"/>
      <c r="AC203" s="374"/>
      <c r="AD203" s="374"/>
      <c r="AE203" s="387"/>
      <c r="AF203" s="369"/>
      <c r="AG203" s="370"/>
      <c r="AH203" s="370"/>
      <c r="AI203" s="371"/>
      <c r="AJ203" s="370"/>
      <c r="AK203" s="370"/>
      <c r="AL203" s="370"/>
      <c r="AM203" s="370"/>
      <c r="AN203" s="369" t="s">
        <v>261</v>
      </c>
      <c r="AO203" s="370"/>
      <c r="AP203" s="370"/>
      <c r="AQ203" s="371"/>
      <c r="AR203" s="24"/>
      <c r="AS203" s="65"/>
      <c r="AT203" s="55"/>
      <c r="AU203" s="55"/>
      <c r="AV203" s="56">
        <f t="shared" si="13"/>
        <v>0</v>
      </c>
      <c r="AW203" s="32"/>
      <c r="AX203" s="28">
        <v>2000</v>
      </c>
      <c r="AY203" s="29">
        <f t="shared" si="12"/>
        <v>2000</v>
      </c>
      <c r="AZ203" s="25"/>
      <c r="BA203" s="30"/>
    </row>
    <row r="204" spans="1:53" ht="12.75" hidden="1">
      <c r="A204" s="408"/>
      <c r="B204" s="376" t="s">
        <v>99</v>
      </c>
      <c r="C204" s="377"/>
      <c r="D204" s="377"/>
      <c r="E204" s="378"/>
      <c r="F204" s="402" t="s">
        <v>367</v>
      </c>
      <c r="G204" s="403"/>
      <c r="H204" s="403"/>
      <c r="I204" s="403"/>
      <c r="J204" s="374" t="s">
        <v>368</v>
      </c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  <c r="Y204" s="374"/>
      <c r="Z204" s="374"/>
      <c r="AA204" s="374"/>
      <c r="AB204" s="374"/>
      <c r="AC204" s="374"/>
      <c r="AD204" s="374"/>
      <c r="AE204" s="387"/>
      <c r="AF204" s="369"/>
      <c r="AG204" s="370"/>
      <c r="AH204" s="370"/>
      <c r="AI204" s="371"/>
      <c r="AJ204" s="370" t="s">
        <v>484</v>
      </c>
      <c r="AK204" s="370"/>
      <c r="AL204" s="370"/>
      <c r="AM204" s="370"/>
      <c r="AN204" s="369"/>
      <c r="AO204" s="370"/>
      <c r="AP204" s="370"/>
      <c r="AQ204" s="371"/>
      <c r="AR204" s="24"/>
      <c r="AS204" s="65"/>
      <c r="AT204" s="55">
        <v>45300</v>
      </c>
      <c r="AU204" s="55"/>
      <c r="AV204" s="56">
        <f t="shared" si="13"/>
        <v>45300</v>
      </c>
      <c r="AW204" s="32"/>
      <c r="AX204" s="28"/>
      <c r="AY204" s="29">
        <f t="shared" si="12"/>
        <v>-45300</v>
      </c>
      <c r="AZ204" s="25"/>
      <c r="BA204" s="30"/>
    </row>
    <row r="205" spans="1:53" ht="12.75" hidden="1">
      <c r="A205" s="408"/>
      <c r="B205" s="376" t="s">
        <v>99</v>
      </c>
      <c r="C205" s="377"/>
      <c r="D205" s="377"/>
      <c r="E205" s="378"/>
      <c r="F205" s="379" t="s">
        <v>286</v>
      </c>
      <c r="G205" s="380"/>
      <c r="H205" s="380"/>
      <c r="I205" s="380"/>
      <c r="J205" s="374" t="s">
        <v>287</v>
      </c>
      <c r="K205" s="374"/>
      <c r="L205" s="374"/>
      <c r="M205" s="374"/>
      <c r="N205" s="374"/>
      <c r="O205" s="374"/>
      <c r="P205" s="374"/>
      <c r="Q205" s="374"/>
      <c r="R205" s="374"/>
      <c r="S205" s="374"/>
      <c r="T205" s="374"/>
      <c r="U205" s="374"/>
      <c r="V205" s="374"/>
      <c r="W205" s="374"/>
      <c r="X205" s="374"/>
      <c r="Y205" s="374"/>
      <c r="Z205" s="374"/>
      <c r="AA205" s="374"/>
      <c r="AB205" s="374"/>
      <c r="AC205" s="374"/>
      <c r="AD205" s="374"/>
      <c r="AE205" s="387"/>
      <c r="AF205" s="369"/>
      <c r="AG205" s="370"/>
      <c r="AH205" s="370"/>
      <c r="AI205" s="371"/>
      <c r="AJ205" s="370"/>
      <c r="AK205" s="370"/>
      <c r="AL205" s="370"/>
      <c r="AM205" s="370"/>
      <c r="AN205" s="369" t="s">
        <v>485</v>
      </c>
      <c r="AO205" s="370"/>
      <c r="AP205" s="370"/>
      <c r="AQ205" s="371"/>
      <c r="AR205" s="24"/>
      <c r="AS205" s="65"/>
      <c r="AT205" s="55"/>
      <c r="AU205" s="55"/>
      <c r="AV205" s="56">
        <f t="shared" si="13"/>
        <v>0</v>
      </c>
      <c r="AW205" s="32"/>
      <c r="AX205" s="28">
        <v>9678</v>
      </c>
      <c r="AY205" s="29">
        <f t="shared" si="12"/>
        <v>9678</v>
      </c>
      <c r="AZ205" s="25"/>
      <c r="BA205" s="30"/>
    </row>
    <row r="206" spans="1:53" ht="12.75" hidden="1">
      <c r="A206" s="408"/>
      <c r="B206" s="376" t="s">
        <v>99</v>
      </c>
      <c r="C206" s="377"/>
      <c r="D206" s="377"/>
      <c r="E206" s="378"/>
      <c r="F206" s="379" t="s">
        <v>151</v>
      </c>
      <c r="G206" s="380"/>
      <c r="H206" s="380"/>
      <c r="I206" s="380"/>
      <c r="J206" s="374" t="s">
        <v>152</v>
      </c>
      <c r="K206" s="374"/>
      <c r="L206" s="374"/>
      <c r="M206" s="374"/>
      <c r="N206" s="374"/>
      <c r="O206" s="374"/>
      <c r="P206" s="374"/>
      <c r="Q206" s="374"/>
      <c r="R206" s="374"/>
      <c r="S206" s="374"/>
      <c r="T206" s="374"/>
      <c r="U206" s="374"/>
      <c r="V206" s="374"/>
      <c r="W206" s="374"/>
      <c r="X206" s="374"/>
      <c r="Y206" s="374"/>
      <c r="Z206" s="374"/>
      <c r="AA206" s="374"/>
      <c r="AB206" s="374"/>
      <c r="AC206" s="374"/>
      <c r="AD206" s="374"/>
      <c r="AE206" s="387"/>
      <c r="AF206" s="369"/>
      <c r="AG206" s="370"/>
      <c r="AH206" s="370"/>
      <c r="AI206" s="371"/>
      <c r="AJ206" s="370" t="s">
        <v>486</v>
      </c>
      <c r="AK206" s="370"/>
      <c r="AL206" s="370"/>
      <c r="AM206" s="370"/>
      <c r="AN206" s="369" t="s">
        <v>487</v>
      </c>
      <c r="AO206" s="370"/>
      <c r="AP206" s="370"/>
      <c r="AQ206" s="371"/>
      <c r="AR206" s="24"/>
      <c r="AS206" s="65"/>
      <c r="AT206" s="55">
        <v>170000</v>
      </c>
      <c r="AU206" s="55"/>
      <c r="AV206" s="56">
        <f t="shared" si="13"/>
        <v>170000</v>
      </c>
      <c r="AW206" s="32"/>
      <c r="AX206" s="28">
        <v>170326.19</v>
      </c>
      <c r="AY206" s="29">
        <f t="shared" si="12"/>
        <v>326.1900000000023</v>
      </c>
      <c r="AZ206" s="25"/>
      <c r="BA206" s="30"/>
    </row>
    <row r="207" spans="1:53" ht="12.75" hidden="1">
      <c r="A207" s="408"/>
      <c r="B207" s="376" t="s">
        <v>99</v>
      </c>
      <c r="C207" s="377"/>
      <c r="D207" s="377"/>
      <c r="E207" s="378"/>
      <c r="F207" s="379" t="s">
        <v>488</v>
      </c>
      <c r="G207" s="380"/>
      <c r="H207" s="380"/>
      <c r="I207" s="380"/>
      <c r="J207" s="374" t="s">
        <v>489</v>
      </c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87"/>
      <c r="AF207" s="369"/>
      <c r="AG207" s="370"/>
      <c r="AH207" s="370"/>
      <c r="AI207" s="371"/>
      <c r="AJ207" s="370" t="s">
        <v>490</v>
      </c>
      <c r="AK207" s="370"/>
      <c r="AL207" s="370"/>
      <c r="AM207" s="370"/>
      <c r="AN207" s="369" t="s">
        <v>491</v>
      </c>
      <c r="AO207" s="370"/>
      <c r="AP207" s="370"/>
      <c r="AQ207" s="371"/>
      <c r="AR207" s="24"/>
      <c r="AS207" s="65"/>
      <c r="AT207" s="55">
        <v>583000</v>
      </c>
      <c r="AU207" s="55"/>
      <c r="AV207" s="56">
        <f t="shared" si="13"/>
        <v>583000</v>
      </c>
      <c r="AW207" s="32"/>
      <c r="AX207" s="28">
        <v>583200</v>
      </c>
      <c r="AY207" s="29">
        <f t="shared" si="12"/>
        <v>200</v>
      </c>
      <c r="AZ207" s="25"/>
      <c r="BA207" s="30"/>
    </row>
    <row r="208" spans="1:53" s="2" customFormat="1" ht="12.75">
      <c r="A208" s="408"/>
      <c r="B208" s="382" t="s">
        <v>99</v>
      </c>
      <c r="C208" s="383"/>
      <c r="D208" s="383"/>
      <c r="E208" s="384"/>
      <c r="F208" s="396" t="s">
        <v>102</v>
      </c>
      <c r="G208" s="385"/>
      <c r="H208" s="385"/>
      <c r="I208" s="385"/>
      <c r="J208" s="385"/>
      <c r="K208" s="385"/>
      <c r="L208" s="385"/>
      <c r="M208" s="385"/>
      <c r="N208" s="385"/>
      <c r="O208" s="385"/>
      <c r="P208" s="385"/>
      <c r="Q208" s="385"/>
      <c r="R208" s="385"/>
      <c r="S208" s="385"/>
      <c r="T208" s="385"/>
      <c r="U208" s="385"/>
      <c r="V208" s="385"/>
      <c r="W208" s="385"/>
      <c r="X208" s="385"/>
      <c r="Y208" s="385"/>
      <c r="Z208" s="385"/>
      <c r="AA208" s="385"/>
      <c r="AB208" s="385"/>
      <c r="AC208" s="385"/>
      <c r="AD208" s="385"/>
      <c r="AE208" s="397"/>
      <c r="AF208" s="389" t="s">
        <v>492</v>
      </c>
      <c r="AG208" s="390"/>
      <c r="AH208" s="390"/>
      <c r="AI208" s="391"/>
      <c r="AJ208" s="390" t="s">
        <v>493</v>
      </c>
      <c r="AK208" s="390"/>
      <c r="AL208" s="390"/>
      <c r="AM208" s="390"/>
      <c r="AN208" s="389" t="s">
        <v>494</v>
      </c>
      <c r="AO208" s="390"/>
      <c r="AP208" s="390"/>
      <c r="AQ208" s="391"/>
      <c r="AR208" s="43"/>
      <c r="AS208" s="64">
        <f>SUM(AS182:AS207)</f>
        <v>3310000</v>
      </c>
      <c r="AT208" s="57">
        <f>SUM(AT182:AT207)</f>
        <v>5023300</v>
      </c>
      <c r="AU208" s="57">
        <f>SUM(AU182:AU207)+10000</f>
        <v>0</v>
      </c>
      <c r="AV208" s="57">
        <f>SUM(AV182:AV207)</f>
        <v>5013300</v>
      </c>
      <c r="AW208" s="33">
        <f>AV208-AT208</f>
        <v>-10000</v>
      </c>
      <c r="AX208" s="34">
        <f>SUM(AX182:AX207)</f>
        <v>4418030.4</v>
      </c>
      <c r="AY208" s="35">
        <f>SUM(AY182:AY207)</f>
        <v>-595269.6000000001</v>
      </c>
      <c r="AZ208" s="44"/>
      <c r="BA208" s="36">
        <f>SUM(BA182:BA207)</f>
        <v>3458000</v>
      </c>
    </row>
    <row r="209" spans="1:53" ht="12.75" hidden="1">
      <c r="A209" s="408"/>
      <c r="B209" s="376" t="s">
        <v>495</v>
      </c>
      <c r="C209" s="377"/>
      <c r="D209" s="377"/>
      <c r="E209" s="378"/>
      <c r="F209" s="379" t="s">
        <v>142</v>
      </c>
      <c r="G209" s="380"/>
      <c r="H209" s="380"/>
      <c r="I209" s="380"/>
      <c r="J209" s="374" t="s">
        <v>143</v>
      </c>
      <c r="K209" s="374"/>
      <c r="L209" s="374"/>
      <c r="M209" s="374"/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  <c r="X209" s="374"/>
      <c r="Y209" s="374"/>
      <c r="Z209" s="374"/>
      <c r="AA209" s="374"/>
      <c r="AB209" s="374"/>
      <c r="AC209" s="374"/>
      <c r="AD209" s="374"/>
      <c r="AE209" s="387"/>
      <c r="AF209" s="369"/>
      <c r="AG209" s="370"/>
      <c r="AH209" s="370"/>
      <c r="AI209" s="371"/>
      <c r="AJ209" s="370" t="s">
        <v>34</v>
      </c>
      <c r="AK209" s="370"/>
      <c r="AL209" s="370"/>
      <c r="AM209" s="370"/>
      <c r="AN209" s="369" t="s">
        <v>496</v>
      </c>
      <c r="AO209" s="370"/>
      <c r="AP209" s="370"/>
      <c r="AQ209" s="371"/>
      <c r="AR209" s="24"/>
      <c r="AS209" s="65"/>
      <c r="AT209" s="55">
        <v>11000</v>
      </c>
      <c r="AU209" s="55"/>
      <c r="AV209" s="56">
        <f>AT209+AU209</f>
        <v>11000</v>
      </c>
      <c r="AW209" s="32"/>
      <c r="AX209" s="28">
        <v>11208</v>
      </c>
      <c r="AY209" s="29">
        <f>AX209-AV209</f>
        <v>208</v>
      </c>
      <c r="AZ209" s="25"/>
      <c r="BA209" s="30"/>
    </row>
    <row r="210" spans="1:53" s="2" customFormat="1" ht="12.75">
      <c r="A210" s="408"/>
      <c r="B210" s="382" t="s">
        <v>495</v>
      </c>
      <c r="C210" s="383"/>
      <c r="D210" s="383"/>
      <c r="E210" s="384"/>
      <c r="F210" s="396" t="s">
        <v>497</v>
      </c>
      <c r="G210" s="385"/>
      <c r="H210" s="385"/>
      <c r="I210" s="385"/>
      <c r="J210" s="385"/>
      <c r="K210" s="385"/>
      <c r="L210" s="385"/>
      <c r="M210" s="385"/>
      <c r="N210" s="385"/>
      <c r="O210" s="385"/>
      <c r="P210" s="385"/>
      <c r="Q210" s="385"/>
      <c r="R210" s="385"/>
      <c r="S210" s="385"/>
      <c r="T210" s="385"/>
      <c r="U210" s="385"/>
      <c r="V210" s="385"/>
      <c r="W210" s="385"/>
      <c r="X210" s="385"/>
      <c r="Y210" s="385"/>
      <c r="Z210" s="385"/>
      <c r="AA210" s="385"/>
      <c r="AB210" s="385"/>
      <c r="AC210" s="385"/>
      <c r="AD210" s="385"/>
      <c r="AE210" s="397"/>
      <c r="AF210" s="389"/>
      <c r="AG210" s="390"/>
      <c r="AH210" s="390"/>
      <c r="AI210" s="391"/>
      <c r="AJ210" s="390" t="s">
        <v>34</v>
      </c>
      <c r="AK210" s="390"/>
      <c r="AL210" s="390"/>
      <c r="AM210" s="390"/>
      <c r="AN210" s="389" t="s">
        <v>496</v>
      </c>
      <c r="AO210" s="390"/>
      <c r="AP210" s="390"/>
      <c r="AQ210" s="391"/>
      <c r="AR210" s="43"/>
      <c r="AS210" s="64">
        <f>AS209</f>
        <v>0</v>
      </c>
      <c r="AT210" s="57">
        <f>AT209</f>
        <v>11000</v>
      </c>
      <c r="AU210" s="57">
        <f>AU209</f>
        <v>0</v>
      </c>
      <c r="AV210" s="57">
        <f>AV209</f>
        <v>11000</v>
      </c>
      <c r="AW210" s="33">
        <f>AV210-AT210</f>
        <v>0</v>
      </c>
      <c r="AX210" s="34">
        <f>AX209</f>
        <v>11208</v>
      </c>
      <c r="AY210" s="35">
        <f>AY209</f>
        <v>208</v>
      </c>
      <c r="AZ210" s="44"/>
      <c r="BA210" s="36">
        <f>BA209</f>
        <v>0</v>
      </c>
    </row>
    <row r="211" spans="1:53" ht="12.75" hidden="1">
      <c r="A211" s="408"/>
      <c r="B211" s="376" t="s">
        <v>498</v>
      </c>
      <c r="C211" s="377"/>
      <c r="D211" s="377"/>
      <c r="E211" s="378"/>
      <c r="F211" s="402" t="s">
        <v>363</v>
      </c>
      <c r="G211" s="403"/>
      <c r="H211" s="403"/>
      <c r="I211" s="403"/>
      <c r="J211" s="374" t="s">
        <v>364</v>
      </c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  <c r="Y211" s="374"/>
      <c r="Z211" s="374"/>
      <c r="AA211" s="374"/>
      <c r="AB211" s="374"/>
      <c r="AC211" s="374"/>
      <c r="AD211" s="374"/>
      <c r="AE211" s="387"/>
      <c r="AF211" s="369"/>
      <c r="AG211" s="370"/>
      <c r="AH211" s="370"/>
      <c r="AI211" s="371"/>
      <c r="AJ211" s="370" t="s">
        <v>305</v>
      </c>
      <c r="AK211" s="370"/>
      <c r="AL211" s="370"/>
      <c r="AM211" s="370"/>
      <c r="AN211" s="369" t="s">
        <v>305</v>
      </c>
      <c r="AO211" s="370"/>
      <c r="AP211" s="370"/>
      <c r="AQ211" s="371"/>
      <c r="AR211" s="24"/>
      <c r="AS211" s="65"/>
      <c r="AT211" s="55">
        <v>15000</v>
      </c>
      <c r="AU211" s="55"/>
      <c r="AV211" s="56">
        <f>AT211+AU211</f>
        <v>15000</v>
      </c>
      <c r="AW211" s="32"/>
      <c r="AX211" s="28">
        <v>15000</v>
      </c>
      <c r="AY211" s="29">
        <f>AX211-AV211</f>
        <v>0</v>
      </c>
      <c r="AZ211" s="25"/>
      <c r="BA211" s="30"/>
    </row>
    <row r="212" spans="1:53" s="2" customFormat="1" ht="12.75">
      <c r="A212" s="408"/>
      <c r="B212" s="382" t="s">
        <v>498</v>
      </c>
      <c r="C212" s="383"/>
      <c r="D212" s="383"/>
      <c r="E212" s="384"/>
      <c r="F212" s="396" t="s">
        <v>499</v>
      </c>
      <c r="G212" s="385"/>
      <c r="H212" s="385"/>
      <c r="I212" s="385"/>
      <c r="J212" s="385"/>
      <c r="K212" s="385"/>
      <c r="L212" s="385"/>
      <c r="M212" s="385"/>
      <c r="N212" s="385"/>
      <c r="O212" s="385"/>
      <c r="P212" s="385"/>
      <c r="Q212" s="385"/>
      <c r="R212" s="385"/>
      <c r="S212" s="385"/>
      <c r="T212" s="385"/>
      <c r="U212" s="385"/>
      <c r="V212" s="385"/>
      <c r="W212" s="385"/>
      <c r="X212" s="385"/>
      <c r="Y212" s="385"/>
      <c r="Z212" s="385"/>
      <c r="AA212" s="385"/>
      <c r="AB212" s="385"/>
      <c r="AC212" s="385"/>
      <c r="AD212" s="385"/>
      <c r="AE212" s="397"/>
      <c r="AF212" s="389"/>
      <c r="AG212" s="390"/>
      <c r="AH212" s="390"/>
      <c r="AI212" s="391"/>
      <c r="AJ212" s="390" t="s">
        <v>305</v>
      </c>
      <c r="AK212" s="390"/>
      <c r="AL212" s="390"/>
      <c r="AM212" s="390"/>
      <c r="AN212" s="389" t="s">
        <v>305</v>
      </c>
      <c r="AO212" s="390"/>
      <c r="AP212" s="390"/>
      <c r="AQ212" s="391"/>
      <c r="AR212" s="43"/>
      <c r="AS212" s="64">
        <f>AS211</f>
        <v>0</v>
      </c>
      <c r="AT212" s="57">
        <f>AT211</f>
        <v>15000</v>
      </c>
      <c r="AU212" s="57">
        <f>AU211</f>
        <v>0</v>
      </c>
      <c r="AV212" s="57">
        <f>AV211</f>
        <v>15000</v>
      </c>
      <c r="AW212" s="33">
        <f>AV212-AT212</f>
        <v>0</v>
      </c>
      <c r="AX212" s="34">
        <f>AX211</f>
        <v>15000</v>
      </c>
      <c r="AY212" s="35">
        <f>AY211</f>
        <v>0</v>
      </c>
      <c r="AZ212" s="44"/>
      <c r="BA212" s="36">
        <f>BA211</f>
        <v>0</v>
      </c>
    </row>
    <row r="213" spans="1:53" ht="12.75" hidden="1">
      <c r="A213" s="408"/>
      <c r="B213" s="376" t="s">
        <v>500</v>
      </c>
      <c r="C213" s="377"/>
      <c r="D213" s="377"/>
      <c r="E213" s="378"/>
      <c r="F213" s="379" t="s">
        <v>259</v>
      </c>
      <c r="G213" s="380"/>
      <c r="H213" s="380"/>
      <c r="I213" s="380"/>
      <c r="J213" s="374" t="s">
        <v>260</v>
      </c>
      <c r="K213" s="374"/>
      <c r="L213" s="374"/>
      <c r="M213" s="374"/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  <c r="X213" s="374"/>
      <c r="Y213" s="374"/>
      <c r="Z213" s="374"/>
      <c r="AA213" s="374"/>
      <c r="AB213" s="374"/>
      <c r="AC213" s="374"/>
      <c r="AD213" s="374"/>
      <c r="AE213" s="387"/>
      <c r="AF213" s="369"/>
      <c r="AG213" s="370"/>
      <c r="AH213" s="370"/>
      <c r="AI213" s="371"/>
      <c r="AJ213" s="370"/>
      <c r="AK213" s="370"/>
      <c r="AL213" s="370"/>
      <c r="AM213" s="370"/>
      <c r="AN213" s="369" t="s">
        <v>501</v>
      </c>
      <c r="AO213" s="370"/>
      <c r="AP213" s="370"/>
      <c r="AQ213" s="371"/>
      <c r="AR213" s="24"/>
      <c r="AS213" s="65"/>
      <c r="AT213" s="55"/>
      <c r="AU213" s="55"/>
      <c r="AV213" s="56">
        <f>AT213+AU213</f>
        <v>0</v>
      </c>
      <c r="AW213" s="32"/>
      <c r="AX213" s="28">
        <v>4114</v>
      </c>
      <c r="AY213" s="29">
        <f>AX213-AV213</f>
        <v>4114</v>
      </c>
      <c r="AZ213" s="25"/>
      <c r="BA213" s="30"/>
    </row>
    <row r="214" spans="1:53" ht="12.75" hidden="1">
      <c r="A214" s="408"/>
      <c r="B214" s="376" t="s">
        <v>500</v>
      </c>
      <c r="C214" s="377"/>
      <c r="D214" s="377"/>
      <c r="E214" s="378"/>
      <c r="F214" s="379" t="s">
        <v>142</v>
      </c>
      <c r="G214" s="380"/>
      <c r="H214" s="380"/>
      <c r="I214" s="380"/>
      <c r="J214" s="374" t="s">
        <v>143</v>
      </c>
      <c r="K214" s="374"/>
      <c r="L214" s="374"/>
      <c r="M214" s="374"/>
      <c r="N214" s="374"/>
      <c r="O214" s="374"/>
      <c r="P214" s="374"/>
      <c r="Q214" s="374"/>
      <c r="R214" s="374"/>
      <c r="S214" s="374"/>
      <c r="T214" s="374"/>
      <c r="U214" s="374"/>
      <c r="V214" s="374"/>
      <c r="W214" s="374"/>
      <c r="X214" s="374"/>
      <c r="Y214" s="374"/>
      <c r="Z214" s="374"/>
      <c r="AA214" s="374"/>
      <c r="AB214" s="374"/>
      <c r="AC214" s="374"/>
      <c r="AD214" s="374"/>
      <c r="AE214" s="387"/>
      <c r="AF214" s="369" t="s">
        <v>87</v>
      </c>
      <c r="AG214" s="370"/>
      <c r="AH214" s="370"/>
      <c r="AI214" s="371"/>
      <c r="AJ214" s="370" t="s">
        <v>144</v>
      </c>
      <c r="AK214" s="370"/>
      <c r="AL214" s="370"/>
      <c r="AM214" s="370"/>
      <c r="AN214" s="369" t="s">
        <v>502</v>
      </c>
      <c r="AO214" s="370"/>
      <c r="AP214" s="370"/>
      <c r="AQ214" s="371"/>
      <c r="AR214" s="24"/>
      <c r="AS214" s="65">
        <v>150000</v>
      </c>
      <c r="AT214" s="55">
        <v>200000</v>
      </c>
      <c r="AU214" s="55"/>
      <c r="AV214" s="56">
        <f>AT214+AU214</f>
        <v>200000</v>
      </c>
      <c r="AW214" s="32"/>
      <c r="AX214" s="28">
        <v>154764</v>
      </c>
      <c r="AY214" s="29">
        <f>AX214-AV214</f>
        <v>-45236</v>
      </c>
      <c r="AZ214" s="25"/>
      <c r="BA214" s="30">
        <v>150000</v>
      </c>
    </row>
    <row r="215" spans="1:53" ht="12.75" hidden="1">
      <c r="A215" s="408"/>
      <c r="B215" s="376" t="s">
        <v>500</v>
      </c>
      <c r="C215" s="377"/>
      <c r="D215" s="377"/>
      <c r="E215" s="378"/>
      <c r="F215" s="379" t="s">
        <v>424</v>
      </c>
      <c r="G215" s="380"/>
      <c r="H215" s="380"/>
      <c r="I215" s="380"/>
      <c r="J215" s="374" t="s">
        <v>425</v>
      </c>
      <c r="K215" s="374"/>
      <c r="L215" s="374"/>
      <c r="M215" s="374"/>
      <c r="N215" s="374"/>
      <c r="O215" s="374"/>
      <c r="P215" s="374"/>
      <c r="Q215" s="374"/>
      <c r="R215" s="374"/>
      <c r="S215" s="374"/>
      <c r="T215" s="374"/>
      <c r="U215" s="374"/>
      <c r="V215" s="374"/>
      <c r="W215" s="374"/>
      <c r="X215" s="374"/>
      <c r="Y215" s="374"/>
      <c r="Z215" s="374"/>
      <c r="AA215" s="374"/>
      <c r="AB215" s="374"/>
      <c r="AC215" s="374"/>
      <c r="AD215" s="374"/>
      <c r="AE215" s="387"/>
      <c r="AF215" s="369"/>
      <c r="AG215" s="370"/>
      <c r="AH215" s="370"/>
      <c r="AI215" s="371"/>
      <c r="AJ215" s="370"/>
      <c r="AK215" s="370"/>
      <c r="AL215" s="370"/>
      <c r="AM215" s="370"/>
      <c r="AN215" s="369" t="s">
        <v>503</v>
      </c>
      <c r="AO215" s="370"/>
      <c r="AP215" s="370"/>
      <c r="AQ215" s="371"/>
      <c r="AR215" s="24"/>
      <c r="AS215" s="65"/>
      <c r="AT215" s="55"/>
      <c r="AU215" s="55"/>
      <c r="AV215" s="56">
        <f>AT215+AU215</f>
        <v>0</v>
      </c>
      <c r="AW215" s="32"/>
      <c r="AX215" s="28">
        <v>19178</v>
      </c>
      <c r="AY215" s="29">
        <f>AX215-AV215</f>
        <v>19178</v>
      </c>
      <c r="AZ215" s="25"/>
      <c r="BA215" s="30"/>
    </row>
    <row r="216" spans="1:53" s="2" customFormat="1" ht="12.75">
      <c r="A216" s="408"/>
      <c r="B216" s="382" t="s">
        <v>500</v>
      </c>
      <c r="C216" s="383"/>
      <c r="D216" s="383"/>
      <c r="E216" s="384"/>
      <c r="F216" s="396" t="s">
        <v>504</v>
      </c>
      <c r="G216" s="385"/>
      <c r="H216" s="385"/>
      <c r="I216" s="385"/>
      <c r="J216" s="385"/>
      <c r="K216" s="385"/>
      <c r="L216" s="385"/>
      <c r="M216" s="385"/>
      <c r="N216" s="385"/>
      <c r="O216" s="385"/>
      <c r="P216" s="385"/>
      <c r="Q216" s="385"/>
      <c r="R216" s="385"/>
      <c r="S216" s="385"/>
      <c r="T216" s="385"/>
      <c r="U216" s="385"/>
      <c r="V216" s="385"/>
      <c r="W216" s="385"/>
      <c r="X216" s="385"/>
      <c r="Y216" s="385"/>
      <c r="Z216" s="385"/>
      <c r="AA216" s="385"/>
      <c r="AB216" s="385"/>
      <c r="AC216" s="385"/>
      <c r="AD216" s="385"/>
      <c r="AE216" s="397"/>
      <c r="AF216" s="389" t="s">
        <v>87</v>
      </c>
      <c r="AG216" s="390"/>
      <c r="AH216" s="390"/>
      <c r="AI216" s="391"/>
      <c r="AJ216" s="390" t="s">
        <v>144</v>
      </c>
      <c r="AK216" s="390"/>
      <c r="AL216" s="390"/>
      <c r="AM216" s="390"/>
      <c r="AN216" s="389" t="s">
        <v>505</v>
      </c>
      <c r="AO216" s="390"/>
      <c r="AP216" s="390"/>
      <c r="AQ216" s="391"/>
      <c r="AR216" s="43"/>
      <c r="AS216" s="64">
        <f>SUM(AS213:AS215)</f>
        <v>150000</v>
      </c>
      <c r="AT216" s="57">
        <f>SUM(AT213:AT215)</f>
        <v>200000</v>
      </c>
      <c r="AU216" s="57">
        <f>SUM(AU213:AU215)</f>
        <v>0</v>
      </c>
      <c r="AV216" s="57">
        <f>SUM(AV213:AV215)</f>
        <v>200000</v>
      </c>
      <c r="AW216" s="33">
        <f>AV216-AT216</f>
        <v>0</v>
      </c>
      <c r="AX216" s="34">
        <f>SUM(AX213:AX215)</f>
        <v>178056</v>
      </c>
      <c r="AY216" s="35">
        <f>SUM(AY213:AY215)</f>
        <v>-21944</v>
      </c>
      <c r="AZ216" s="44"/>
      <c r="BA216" s="36">
        <f>SUM(BA213:BA215)</f>
        <v>150000</v>
      </c>
    </row>
    <row r="217" spans="1:53" s="8" customFormat="1" ht="12.75" customHeight="1" hidden="1">
      <c r="A217" s="408"/>
      <c r="B217" s="376" t="s">
        <v>692</v>
      </c>
      <c r="C217" s="377"/>
      <c r="D217" s="377"/>
      <c r="E217" s="378"/>
      <c r="F217" s="379" t="s">
        <v>235</v>
      </c>
      <c r="G217" s="380"/>
      <c r="H217" s="380"/>
      <c r="I217" s="380"/>
      <c r="J217" s="374" t="s">
        <v>236</v>
      </c>
      <c r="K217" s="374"/>
      <c r="L217" s="374"/>
      <c r="M217" s="374"/>
      <c r="N217" s="374"/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  <c r="Y217" s="374"/>
      <c r="Z217" s="374"/>
      <c r="AA217" s="374"/>
      <c r="AB217" s="374"/>
      <c r="AC217" s="374"/>
      <c r="AD217" s="374"/>
      <c r="AE217" s="387"/>
      <c r="AF217" s="369"/>
      <c r="AG217" s="370"/>
      <c r="AH217" s="370"/>
      <c r="AI217" s="371"/>
      <c r="AJ217" s="370"/>
      <c r="AK217" s="370"/>
      <c r="AL217" s="370"/>
      <c r="AM217" s="370"/>
      <c r="AN217" s="369"/>
      <c r="AO217" s="370"/>
      <c r="AP217" s="370"/>
      <c r="AQ217" s="371"/>
      <c r="AR217" s="38"/>
      <c r="AS217" s="67"/>
      <c r="AT217" s="70">
        <v>117000</v>
      </c>
      <c r="AU217" s="55"/>
      <c r="AV217" s="56">
        <f>AT217+AU217</f>
        <v>117000</v>
      </c>
      <c r="AW217" s="32"/>
      <c r="AX217" s="28"/>
      <c r="AY217" s="29"/>
      <c r="AZ217" s="25"/>
      <c r="BA217" s="30"/>
    </row>
    <row r="218" spans="1:53" s="8" customFormat="1" ht="12.75" customHeight="1" hidden="1">
      <c r="A218" s="409"/>
      <c r="B218" s="376" t="s">
        <v>692</v>
      </c>
      <c r="C218" s="377"/>
      <c r="D218" s="377"/>
      <c r="E218" s="378"/>
      <c r="F218" s="379" t="s">
        <v>242</v>
      </c>
      <c r="G218" s="380"/>
      <c r="H218" s="380"/>
      <c r="I218" s="380"/>
      <c r="J218" s="374" t="s">
        <v>243</v>
      </c>
      <c r="K218" s="374"/>
      <c r="L218" s="374"/>
      <c r="M218" s="374"/>
      <c r="N218" s="374"/>
      <c r="O218" s="374"/>
      <c r="P218" s="374"/>
      <c r="Q218" s="374"/>
      <c r="R218" s="374"/>
      <c r="S218" s="374"/>
      <c r="T218" s="374"/>
      <c r="U218" s="374"/>
      <c r="V218" s="374"/>
      <c r="W218" s="374"/>
      <c r="X218" s="374"/>
      <c r="Y218" s="374"/>
      <c r="Z218" s="374"/>
      <c r="AA218" s="374"/>
      <c r="AB218" s="374"/>
      <c r="AC218" s="374"/>
      <c r="AD218" s="374"/>
      <c r="AE218" s="387"/>
      <c r="AF218" s="369"/>
      <c r="AG218" s="370"/>
      <c r="AH218" s="370"/>
      <c r="AI218" s="371"/>
      <c r="AJ218" s="370"/>
      <c r="AK218" s="370"/>
      <c r="AL218" s="370"/>
      <c r="AM218" s="370"/>
      <c r="AN218" s="369"/>
      <c r="AO218" s="370"/>
      <c r="AP218" s="370"/>
      <c r="AQ218" s="371"/>
      <c r="AR218" s="38"/>
      <c r="AS218" s="67"/>
      <c r="AT218" s="70">
        <v>29000</v>
      </c>
      <c r="AU218" s="55"/>
      <c r="AV218" s="56">
        <f>AT218+AU218</f>
        <v>29000</v>
      </c>
      <c r="AW218" s="32"/>
      <c r="AX218" s="28"/>
      <c r="AY218" s="29"/>
      <c r="AZ218" s="25"/>
      <c r="BA218" s="30"/>
    </row>
    <row r="219" spans="1:53" s="8" customFormat="1" ht="12.75" customHeight="1" hidden="1">
      <c r="A219" s="409"/>
      <c r="B219" s="376" t="s">
        <v>692</v>
      </c>
      <c r="C219" s="377"/>
      <c r="D219" s="377"/>
      <c r="E219" s="378"/>
      <c r="F219" s="379" t="s">
        <v>246</v>
      </c>
      <c r="G219" s="380"/>
      <c r="H219" s="380"/>
      <c r="I219" s="380"/>
      <c r="J219" s="374" t="s">
        <v>247</v>
      </c>
      <c r="K219" s="374"/>
      <c r="L219" s="374"/>
      <c r="M219" s="374"/>
      <c r="N219" s="374"/>
      <c r="O219" s="374"/>
      <c r="P219" s="374"/>
      <c r="Q219" s="374"/>
      <c r="R219" s="374"/>
      <c r="S219" s="374"/>
      <c r="T219" s="374"/>
      <c r="U219" s="374"/>
      <c r="V219" s="374"/>
      <c r="W219" s="374"/>
      <c r="X219" s="374"/>
      <c r="Y219" s="374"/>
      <c r="Z219" s="374"/>
      <c r="AA219" s="374"/>
      <c r="AB219" s="374"/>
      <c r="AC219" s="374"/>
      <c r="AD219" s="374"/>
      <c r="AE219" s="387"/>
      <c r="AF219" s="53"/>
      <c r="AG219" s="31"/>
      <c r="AH219" s="31"/>
      <c r="AI219" s="54"/>
      <c r="AJ219" s="31"/>
      <c r="AK219" s="31"/>
      <c r="AL219" s="31"/>
      <c r="AM219" s="31"/>
      <c r="AN219" s="53"/>
      <c r="AO219" s="31"/>
      <c r="AP219" s="31"/>
      <c r="AQ219" s="54"/>
      <c r="AR219" s="38"/>
      <c r="AS219" s="67"/>
      <c r="AT219" s="70">
        <v>11000</v>
      </c>
      <c r="AU219" s="55"/>
      <c r="AV219" s="56">
        <f>AT219+AU219</f>
        <v>11000</v>
      </c>
      <c r="AW219" s="32"/>
      <c r="AX219" s="28"/>
      <c r="AY219" s="29"/>
      <c r="AZ219" s="25"/>
      <c r="BA219" s="30"/>
    </row>
    <row r="220" spans="1:53" s="8" customFormat="1" ht="12.75" customHeight="1" hidden="1">
      <c r="A220" s="409"/>
      <c r="B220" s="376" t="s">
        <v>692</v>
      </c>
      <c r="C220" s="377"/>
      <c r="D220" s="377"/>
      <c r="E220" s="378"/>
      <c r="F220" s="379" t="s">
        <v>142</v>
      </c>
      <c r="G220" s="380"/>
      <c r="H220" s="380"/>
      <c r="I220" s="380"/>
      <c r="J220" s="374" t="s">
        <v>143</v>
      </c>
      <c r="K220" s="374"/>
      <c r="L220" s="374"/>
      <c r="M220" s="374"/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  <c r="X220" s="374"/>
      <c r="Y220" s="374"/>
      <c r="Z220" s="374"/>
      <c r="AA220" s="374"/>
      <c r="AB220" s="374"/>
      <c r="AC220" s="374"/>
      <c r="AD220" s="374"/>
      <c r="AE220" s="387"/>
      <c r="AF220" s="53"/>
      <c r="AG220" s="31"/>
      <c r="AH220" s="31"/>
      <c r="AI220" s="54"/>
      <c r="AJ220" s="31"/>
      <c r="AK220" s="31"/>
      <c r="AL220" s="31"/>
      <c r="AM220" s="31"/>
      <c r="AN220" s="53"/>
      <c r="AO220" s="31"/>
      <c r="AP220" s="31"/>
      <c r="AQ220" s="54"/>
      <c r="AR220" s="38"/>
      <c r="AS220" s="67"/>
      <c r="AT220" s="70">
        <f>25000+10000+2200</f>
        <v>37200</v>
      </c>
      <c r="AU220" s="55"/>
      <c r="AV220" s="56">
        <f>AT220+AU220</f>
        <v>37200</v>
      </c>
      <c r="AW220" s="32"/>
      <c r="AX220" s="28"/>
      <c r="AY220" s="29"/>
      <c r="AZ220" s="25"/>
      <c r="BA220" s="30"/>
    </row>
    <row r="221" spans="1:53" s="8" customFormat="1" ht="12.75" customHeight="1" hidden="1">
      <c r="A221" s="409"/>
      <c r="B221" s="376" t="s">
        <v>692</v>
      </c>
      <c r="C221" s="377"/>
      <c r="D221" s="377"/>
      <c r="E221" s="378"/>
      <c r="F221" s="379" t="s">
        <v>477</v>
      </c>
      <c r="G221" s="380"/>
      <c r="H221" s="380"/>
      <c r="I221" s="380"/>
      <c r="J221" s="374" t="s">
        <v>478</v>
      </c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  <c r="X221" s="374"/>
      <c r="Y221" s="374"/>
      <c r="Z221" s="374"/>
      <c r="AA221" s="374"/>
      <c r="AB221" s="374"/>
      <c r="AC221" s="374"/>
      <c r="AD221" s="374"/>
      <c r="AE221" s="387"/>
      <c r="AF221" s="369"/>
      <c r="AG221" s="370"/>
      <c r="AH221" s="370"/>
      <c r="AI221" s="371"/>
      <c r="AJ221" s="370"/>
      <c r="AK221" s="370"/>
      <c r="AL221" s="370"/>
      <c r="AM221" s="370"/>
      <c r="AN221" s="369"/>
      <c r="AO221" s="370"/>
      <c r="AP221" s="370"/>
      <c r="AQ221" s="371"/>
      <c r="AR221" s="38"/>
      <c r="AS221" s="67"/>
      <c r="AT221" s="70">
        <f>600+1200</f>
        <v>1800</v>
      </c>
      <c r="AU221" s="55"/>
      <c r="AV221" s="56">
        <f>AT221+AU221</f>
        <v>1800</v>
      </c>
      <c r="AW221" s="32"/>
      <c r="AX221" s="28"/>
      <c r="AY221" s="29"/>
      <c r="AZ221" s="25"/>
      <c r="BA221" s="30"/>
    </row>
    <row r="222" spans="1:53" s="2" customFormat="1" ht="12.75">
      <c r="A222" s="409"/>
      <c r="B222" s="382" t="s">
        <v>692</v>
      </c>
      <c r="C222" s="383"/>
      <c r="D222" s="383"/>
      <c r="E222" s="384"/>
      <c r="F222" s="396" t="s">
        <v>700</v>
      </c>
      <c r="G222" s="385"/>
      <c r="H222" s="385"/>
      <c r="I222" s="385"/>
      <c r="J222" s="385"/>
      <c r="K222" s="385"/>
      <c r="L222" s="385"/>
      <c r="M222" s="385"/>
      <c r="N222" s="385"/>
      <c r="O222" s="385"/>
      <c r="P222" s="385"/>
      <c r="Q222" s="385"/>
      <c r="R222" s="385"/>
      <c r="S222" s="385"/>
      <c r="T222" s="385"/>
      <c r="U222" s="385"/>
      <c r="V222" s="385"/>
      <c r="W222" s="385"/>
      <c r="X222" s="385"/>
      <c r="Y222" s="385"/>
      <c r="Z222" s="385"/>
      <c r="AA222" s="385"/>
      <c r="AB222" s="385"/>
      <c r="AC222" s="385"/>
      <c r="AD222" s="385"/>
      <c r="AE222" s="397"/>
      <c r="AF222" s="389" t="s">
        <v>693</v>
      </c>
      <c r="AG222" s="390"/>
      <c r="AH222" s="390"/>
      <c r="AI222" s="391"/>
      <c r="AJ222" s="390" t="s">
        <v>694</v>
      </c>
      <c r="AK222" s="390"/>
      <c r="AL222" s="390"/>
      <c r="AM222" s="390"/>
      <c r="AN222" s="389" t="s">
        <v>693</v>
      </c>
      <c r="AO222" s="390"/>
      <c r="AP222" s="390"/>
      <c r="AQ222" s="391"/>
      <c r="AR222" s="43"/>
      <c r="AS222" s="66">
        <f>SUM(AS217:AS221)</f>
        <v>0</v>
      </c>
      <c r="AT222" s="69">
        <f>SUM(AT217:AT221)</f>
        <v>196000</v>
      </c>
      <c r="AU222" s="57"/>
      <c r="AV222" s="57">
        <f>SUM(AV217:AV221)</f>
        <v>196000</v>
      </c>
      <c r="AW222" s="33">
        <f>AV222-AT222</f>
        <v>0</v>
      </c>
      <c r="AX222" s="34">
        <f>SUM(AX217:AX221)</f>
        <v>0</v>
      </c>
      <c r="AY222" s="35">
        <f>SUM(AY217:AY221)</f>
        <v>0</v>
      </c>
      <c r="AZ222" s="44"/>
      <c r="BA222" s="36">
        <f>SUM(BA217:BA221)</f>
        <v>0</v>
      </c>
    </row>
    <row r="223" spans="1:53" ht="12.75" hidden="1">
      <c r="A223" s="410">
        <v>7</v>
      </c>
      <c r="B223" s="376" t="s">
        <v>506</v>
      </c>
      <c r="C223" s="377"/>
      <c r="D223" s="377"/>
      <c r="E223" s="378"/>
      <c r="F223" s="379" t="s">
        <v>444</v>
      </c>
      <c r="G223" s="380"/>
      <c r="H223" s="380"/>
      <c r="I223" s="380"/>
      <c r="J223" s="374" t="s">
        <v>445</v>
      </c>
      <c r="K223" s="374"/>
      <c r="L223" s="374"/>
      <c r="M223" s="374"/>
      <c r="N223" s="374"/>
      <c r="O223" s="374"/>
      <c r="P223" s="374"/>
      <c r="Q223" s="374"/>
      <c r="R223" s="374"/>
      <c r="S223" s="374"/>
      <c r="T223" s="374"/>
      <c r="U223" s="374"/>
      <c r="V223" s="374"/>
      <c r="W223" s="374"/>
      <c r="X223" s="374"/>
      <c r="Y223" s="374"/>
      <c r="Z223" s="374"/>
      <c r="AA223" s="374"/>
      <c r="AB223" s="374"/>
      <c r="AC223" s="374"/>
      <c r="AD223" s="374"/>
      <c r="AE223" s="387"/>
      <c r="AF223" s="369" t="s">
        <v>300</v>
      </c>
      <c r="AG223" s="370"/>
      <c r="AH223" s="370"/>
      <c r="AI223" s="371"/>
      <c r="AJ223" s="370" t="s">
        <v>507</v>
      </c>
      <c r="AK223" s="370"/>
      <c r="AL223" s="370"/>
      <c r="AM223" s="370"/>
      <c r="AN223" s="369" t="s">
        <v>508</v>
      </c>
      <c r="AO223" s="370"/>
      <c r="AP223" s="370"/>
      <c r="AQ223" s="371"/>
      <c r="AR223" s="24"/>
      <c r="AS223" s="65">
        <v>5000</v>
      </c>
      <c r="AT223" s="55">
        <v>114000</v>
      </c>
      <c r="AU223" s="55">
        <f>AV223-AT223</f>
        <v>-40000</v>
      </c>
      <c r="AV223" s="55">
        <f>114000-40000</f>
        <v>74000</v>
      </c>
      <c r="AW223" s="27"/>
      <c r="AX223" s="28">
        <v>68353.2</v>
      </c>
      <c r="AY223" s="29">
        <f aca="true" t="shared" si="14" ref="AY223:AY235">AX223-AV223</f>
        <v>-5646.800000000003</v>
      </c>
      <c r="AZ223" s="25"/>
      <c r="BA223" s="30">
        <v>5000</v>
      </c>
    </row>
    <row r="224" spans="1:53" ht="12.75" hidden="1">
      <c r="A224" s="406"/>
      <c r="B224" s="376" t="s">
        <v>506</v>
      </c>
      <c r="C224" s="377"/>
      <c r="D224" s="377"/>
      <c r="E224" s="378"/>
      <c r="F224" s="379" t="s">
        <v>257</v>
      </c>
      <c r="G224" s="380"/>
      <c r="H224" s="380"/>
      <c r="I224" s="380"/>
      <c r="J224" s="374" t="s">
        <v>258</v>
      </c>
      <c r="K224" s="374"/>
      <c r="L224" s="374"/>
      <c r="M224" s="374"/>
      <c r="N224" s="374"/>
      <c r="O224" s="374"/>
      <c r="P224" s="374"/>
      <c r="Q224" s="374"/>
      <c r="R224" s="374"/>
      <c r="S224" s="374"/>
      <c r="T224" s="374"/>
      <c r="U224" s="374"/>
      <c r="V224" s="374"/>
      <c r="W224" s="374"/>
      <c r="X224" s="374"/>
      <c r="Y224" s="374"/>
      <c r="Z224" s="374"/>
      <c r="AA224" s="374"/>
      <c r="AB224" s="374"/>
      <c r="AC224" s="374"/>
      <c r="AD224" s="374"/>
      <c r="AE224" s="387"/>
      <c r="AF224" s="369" t="s">
        <v>341</v>
      </c>
      <c r="AG224" s="370"/>
      <c r="AH224" s="370"/>
      <c r="AI224" s="371"/>
      <c r="AJ224" s="370" t="s">
        <v>341</v>
      </c>
      <c r="AK224" s="370"/>
      <c r="AL224" s="370"/>
      <c r="AM224" s="370"/>
      <c r="AN224" s="369" t="s">
        <v>509</v>
      </c>
      <c r="AO224" s="370"/>
      <c r="AP224" s="370"/>
      <c r="AQ224" s="371"/>
      <c r="AR224" s="24"/>
      <c r="AS224" s="65">
        <v>35000</v>
      </c>
      <c r="AT224" s="55">
        <v>35000</v>
      </c>
      <c r="AU224" s="55"/>
      <c r="AV224" s="56">
        <f>AT224+AU224</f>
        <v>35000</v>
      </c>
      <c r="AW224" s="32"/>
      <c r="AX224" s="28">
        <v>29994.85</v>
      </c>
      <c r="AY224" s="29">
        <f t="shared" si="14"/>
        <v>-5005.1500000000015</v>
      </c>
      <c r="AZ224" s="25"/>
      <c r="BA224" s="30">
        <v>35000</v>
      </c>
    </row>
    <row r="225" spans="1:53" ht="12.75" hidden="1">
      <c r="A225" s="406"/>
      <c r="B225" s="376" t="s">
        <v>506</v>
      </c>
      <c r="C225" s="377"/>
      <c r="D225" s="377"/>
      <c r="E225" s="378"/>
      <c r="F225" s="379" t="s">
        <v>259</v>
      </c>
      <c r="G225" s="380"/>
      <c r="H225" s="380"/>
      <c r="I225" s="380"/>
      <c r="J225" s="374" t="s">
        <v>260</v>
      </c>
      <c r="K225" s="374"/>
      <c r="L225" s="374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  <c r="Y225" s="374"/>
      <c r="Z225" s="374"/>
      <c r="AA225" s="374"/>
      <c r="AB225" s="374"/>
      <c r="AC225" s="374"/>
      <c r="AD225" s="374"/>
      <c r="AE225" s="387"/>
      <c r="AF225" s="369" t="s">
        <v>248</v>
      </c>
      <c r="AG225" s="370"/>
      <c r="AH225" s="370"/>
      <c r="AI225" s="371"/>
      <c r="AJ225" s="370" t="s">
        <v>510</v>
      </c>
      <c r="AK225" s="370"/>
      <c r="AL225" s="370"/>
      <c r="AM225" s="370"/>
      <c r="AN225" s="369" t="s">
        <v>511</v>
      </c>
      <c r="AO225" s="370"/>
      <c r="AP225" s="370"/>
      <c r="AQ225" s="371"/>
      <c r="AR225" s="24"/>
      <c r="AS225" s="65">
        <v>27000</v>
      </c>
      <c r="AT225" s="55">
        <v>65000</v>
      </c>
      <c r="AU225" s="55"/>
      <c r="AV225" s="56">
        <f>AT225+AU225</f>
        <v>65000</v>
      </c>
      <c r="AW225" s="32"/>
      <c r="AX225" s="28">
        <v>59497.6</v>
      </c>
      <c r="AY225" s="29">
        <f t="shared" si="14"/>
        <v>-5502.4000000000015</v>
      </c>
      <c r="AZ225" s="25"/>
      <c r="BA225" s="30">
        <v>27000</v>
      </c>
    </row>
    <row r="226" spans="1:53" ht="12.75" hidden="1">
      <c r="A226" s="406"/>
      <c r="B226" s="376" t="s">
        <v>506</v>
      </c>
      <c r="C226" s="377"/>
      <c r="D226" s="377"/>
      <c r="E226" s="378"/>
      <c r="F226" s="379" t="s">
        <v>205</v>
      </c>
      <c r="G226" s="380"/>
      <c r="H226" s="380"/>
      <c r="I226" s="380"/>
      <c r="J226" s="374" t="s">
        <v>206</v>
      </c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374"/>
      <c r="AC226" s="374"/>
      <c r="AD226" s="374"/>
      <c r="AE226" s="387"/>
      <c r="AF226" s="369" t="s">
        <v>263</v>
      </c>
      <c r="AG226" s="370"/>
      <c r="AH226" s="370"/>
      <c r="AI226" s="371"/>
      <c r="AJ226" s="370" t="s">
        <v>263</v>
      </c>
      <c r="AK226" s="370"/>
      <c r="AL226" s="370"/>
      <c r="AM226" s="370"/>
      <c r="AN226" s="369" t="s">
        <v>512</v>
      </c>
      <c r="AO226" s="370"/>
      <c r="AP226" s="370"/>
      <c r="AQ226" s="371"/>
      <c r="AR226" s="24"/>
      <c r="AS226" s="65">
        <v>4000</v>
      </c>
      <c r="AT226" s="55">
        <v>4000</v>
      </c>
      <c r="AU226" s="55"/>
      <c r="AV226" s="56">
        <f>AT226+AU226</f>
        <v>4000</v>
      </c>
      <c r="AW226" s="32"/>
      <c r="AX226" s="28">
        <v>2285</v>
      </c>
      <c r="AY226" s="29">
        <f t="shared" si="14"/>
        <v>-1715</v>
      </c>
      <c r="AZ226" s="25"/>
      <c r="BA226" s="30">
        <v>4000</v>
      </c>
    </row>
    <row r="227" spans="1:53" ht="12.75" hidden="1">
      <c r="A227" s="406"/>
      <c r="B227" s="376" t="s">
        <v>506</v>
      </c>
      <c r="C227" s="377"/>
      <c r="D227" s="377"/>
      <c r="E227" s="378"/>
      <c r="F227" s="379" t="s">
        <v>208</v>
      </c>
      <c r="G227" s="380"/>
      <c r="H227" s="380"/>
      <c r="I227" s="380"/>
      <c r="J227" s="374" t="s">
        <v>209</v>
      </c>
      <c r="K227" s="374"/>
      <c r="L227" s="374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374"/>
      <c r="AC227" s="374"/>
      <c r="AD227" s="374"/>
      <c r="AE227" s="387"/>
      <c r="AF227" s="369" t="s">
        <v>513</v>
      </c>
      <c r="AG227" s="370"/>
      <c r="AH227" s="370"/>
      <c r="AI227" s="371"/>
      <c r="AJ227" s="370" t="s">
        <v>513</v>
      </c>
      <c r="AK227" s="370"/>
      <c r="AL227" s="370"/>
      <c r="AM227" s="370"/>
      <c r="AN227" s="369" t="s">
        <v>514</v>
      </c>
      <c r="AO227" s="370"/>
      <c r="AP227" s="370"/>
      <c r="AQ227" s="371"/>
      <c r="AR227" s="24"/>
      <c r="AS227" s="65">
        <v>92000</v>
      </c>
      <c r="AT227" s="55">
        <v>92000</v>
      </c>
      <c r="AU227" s="55">
        <f>AV227-AT227</f>
        <v>-20000</v>
      </c>
      <c r="AV227" s="55">
        <f>92000-20000</f>
        <v>72000</v>
      </c>
      <c r="AW227" s="27"/>
      <c r="AX227" s="28">
        <v>72018</v>
      </c>
      <c r="AY227" s="29">
        <f t="shared" si="14"/>
        <v>18</v>
      </c>
      <c r="AZ227" s="25"/>
      <c r="BA227" s="30">
        <v>92000</v>
      </c>
    </row>
    <row r="228" spans="1:53" ht="12.75" hidden="1">
      <c r="A228" s="406"/>
      <c r="B228" s="376" t="s">
        <v>506</v>
      </c>
      <c r="C228" s="377"/>
      <c r="D228" s="377"/>
      <c r="E228" s="378"/>
      <c r="F228" s="379" t="s">
        <v>159</v>
      </c>
      <c r="G228" s="380"/>
      <c r="H228" s="380"/>
      <c r="I228" s="380"/>
      <c r="J228" s="374" t="s">
        <v>160</v>
      </c>
      <c r="K228" s="374"/>
      <c r="L228" s="374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  <c r="Y228" s="374"/>
      <c r="Z228" s="374"/>
      <c r="AA228" s="374"/>
      <c r="AB228" s="374"/>
      <c r="AC228" s="374"/>
      <c r="AD228" s="374"/>
      <c r="AE228" s="387"/>
      <c r="AF228" s="369" t="s">
        <v>515</v>
      </c>
      <c r="AG228" s="370"/>
      <c r="AH228" s="370"/>
      <c r="AI228" s="371"/>
      <c r="AJ228" s="370" t="s">
        <v>515</v>
      </c>
      <c r="AK228" s="370"/>
      <c r="AL228" s="370"/>
      <c r="AM228" s="370"/>
      <c r="AN228" s="369" t="s">
        <v>448</v>
      </c>
      <c r="AO228" s="370"/>
      <c r="AP228" s="370"/>
      <c r="AQ228" s="371"/>
      <c r="AR228" s="24"/>
      <c r="AS228" s="65">
        <v>18000</v>
      </c>
      <c r="AT228" s="55">
        <v>18000</v>
      </c>
      <c r="AU228" s="55">
        <v>17000</v>
      </c>
      <c r="AV228" s="56">
        <f aca="true" t="shared" si="15" ref="AV228:AV233">AT228+AU228</f>
        <v>35000</v>
      </c>
      <c r="AW228" s="32"/>
      <c r="AX228" s="28">
        <v>35419</v>
      </c>
      <c r="AY228" s="29">
        <f t="shared" si="14"/>
        <v>419</v>
      </c>
      <c r="AZ228" s="25"/>
      <c r="BA228" s="30">
        <v>18000</v>
      </c>
    </row>
    <row r="229" spans="1:53" ht="12.75" hidden="1">
      <c r="A229" s="406"/>
      <c r="B229" s="376" t="s">
        <v>506</v>
      </c>
      <c r="C229" s="377"/>
      <c r="D229" s="377"/>
      <c r="E229" s="378"/>
      <c r="F229" s="379" t="s">
        <v>460</v>
      </c>
      <c r="G229" s="380"/>
      <c r="H229" s="380"/>
      <c r="I229" s="380"/>
      <c r="J229" s="374" t="s">
        <v>461</v>
      </c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374"/>
      <c r="AC229" s="374"/>
      <c r="AD229" s="374"/>
      <c r="AE229" s="387"/>
      <c r="AF229" s="369" t="s">
        <v>274</v>
      </c>
      <c r="AG229" s="370"/>
      <c r="AH229" s="370"/>
      <c r="AI229" s="371"/>
      <c r="AJ229" s="370" t="s">
        <v>516</v>
      </c>
      <c r="AK229" s="370"/>
      <c r="AL229" s="370"/>
      <c r="AM229" s="370"/>
      <c r="AN229" s="369" t="s">
        <v>517</v>
      </c>
      <c r="AO229" s="370"/>
      <c r="AP229" s="370"/>
      <c r="AQ229" s="371"/>
      <c r="AR229" s="24"/>
      <c r="AS229" s="65">
        <v>26000</v>
      </c>
      <c r="AT229" s="55">
        <v>63000</v>
      </c>
      <c r="AU229" s="55">
        <f>-26000</f>
        <v>-26000</v>
      </c>
      <c r="AV229" s="56">
        <f t="shared" si="15"/>
        <v>37000</v>
      </c>
      <c r="AW229" s="27"/>
      <c r="AX229" s="28">
        <v>30786.72</v>
      </c>
      <c r="AY229" s="29">
        <f t="shared" si="14"/>
        <v>-6213.279999999999</v>
      </c>
      <c r="AZ229" s="25"/>
      <c r="BA229" s="30">
        <v>26000</v>
      </c>
    </row>
    <row r="230" spans="1:53" ht="12.75" hidden="1">
      <c r="A230" s="406"/>
      <c r="B230" s="376" t="s">
        <v>506</v>
      </c>
      <c r="C230" s="377"/>
      <c r="D230" s="377"/>
      <c r="E230" s="378"/>
      <c r="F230" s="379" t="s">
        <v>272</v>
      </c>
      <c r="G230" s="380"/>
      <c r="H230" s="380"/>
      <c r="I230" s="380"/>
      <c r="J230" s="374" t="s">
        <v>273</v>
      </c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  <c r="Y230" s="374"/>
      <c r="Z230" s="374"/>
      <c r="AA230" s="374"/>
      <c r="AB230" s="374"/>
      <c r="AC230" s="374"/>
      <c r="AD230" s="374"/>
      <c r="AE230" s="387"/>
      <c r="AF230" s="369" t="s">
        <v>26</v>
      </c>
      <c r="AG230" s="370"/>
      <c r="AH230" s="370"/>
      <c r="AI230" s="371"/>
      <c r="AJ230" s="370" t="s">
        <v>26</v>
      </c>
      <c r="AK230" s="370"/>
      <c r="AL230" s="370"/>
      <c r="AM230" s="370"/>
      <c r="AN230" s="369" t="s">
        <v>518</v>
      </c>
      <c r="AO230" s="370"/>
      <c r="AP230" s="370"/>
      <c r="AQ230" s="371"/>
      <c r="AR230" s="24"/>
      <c r="AS230" s="65">
        <v>10000</v>
      </c>
      <c r="AT230" s="55">
        <v>10000</v>
      </c>
      <c r="AU230" s="55"/>
      <c r="AV230" s="56">
        <f t="shared" si="15"/>
        <v>10000</v>
      </c>
      <c r="AW230" s="32"/>
      <c r="AX230" s="28">
        <v>6179</v>
      </c>
      <c r="AY230" s="29">
        <f t="shared" si="14"/>
        <v>-3821</v>
      </c>
      <c r="AZ230" s="25"/>
      <c r="BA230" s="30">
        <v>10000</v>
      </c>
    </row>
    <row r="231" spans="1:53" ht="12.75" hidden="1">
      <c r="A231" s="406"/>
      <c r="B231" s="376" t="s">
        <v>506</v>
      </c>
      <c r="C231" s="377"/>
      <c r="D231" s="377"/>
      <c r="E231" s="378"/>
      <c r="F231" s="379" t="s">
        <v>467</v>
      </c>
      <c r="G231" s="380"/>
      <c r="H231" s="380"/>
      <c r="I231" s="380"/>
      <c r="J231" s="374" t="s">
        <v>468</v>
      </c>
      <c r="K231" s="374"/>
      <c r="L231" s="374"/>
      <c r="M231" s="374"/>
      <c r="N231" s="374"/>
      <c r="O231" s="374"/>
      <c r="P231" s="374"/>
      <c r="Q231" s="374"/>
      <c r="R231" s="374"/>
      <c r="S231" s="374"/>
      <c r="T231" s="374"/>
      <c r="U231" s="374"/>
      <c r="V231" s="374"/>
      <c r="W231" s="374"/>
      <c r="X231" s="374"/>
      <c r="Y231" s="374"/>
      <c r="Z231" s="374"/>
      <c r="AA231" s="374"/>
      <c r="AB231" s="374"/>
      <c r="AC231" s="374"/>
      <c r="AD231" s="374"/>
      <c r="AE231" s="387"/>
      <c r="AF231" s="369" t="s">
        <v>429</v>
      </c>
      <c r="AG231" s="370"/>
      <c r="AH231" s="370"/>
      <c r="AI231" s="371"/>
      <c r="AJ231" s="370" t="s">
        <v>429</v>
      </c>
      <c r="AK231" s="370"/>
      <c r="AL231" s="370"/>
      <c r="AM231" s="370"/>
      <c r="AN231" s="369" t="s">
        <v>519</v>
      </c>
      <c r="AO231" s="370"/>
      <c r="AP231" s="370"/>
      <c r="AQ231" s="371"/>
      <c r="AR231" s="24"/>
      <c r="AS231" s="65">
        <v>13000</v>
      </c>
      <c r="AT231" s="55">
        <v>13000</v>
      </c>
      <c r="AU231" s="55"/>
      <c r="AV231" s="56">
        <f t="shared" si="15"/>
        <v>13000</v>
      </c>
      <c r="AW231" s="32"/>
      <c r="AX231" s="28">
        <v>4840</v>
      </c>
      <c r="AY231" s="29">
        <f t="shared" si="14"/>
        <v>-8160</v>
      </c>
      <c r="AZ231" s="25"/>
      <c r="BA231" s="30">
        <v>13000</v>
      </c>
    </row>
    <row r="232" spans="1:53" ht="12.75" hidden="1">
      <c r="A232" s="406"/>
      <c r="B232" s="376" t="s">
        <v>506</v>
      </c>
      <c r="C232" s="377"/>
      <c r="D232" s="377"/>
      <c r="E232" s="378"/>
      <c r="F232" s="379" t="s">
        <v>162</v>
      </c>
      <c r="G232" s="380"/>
      <c r="H232" s="380"/>
      <c r="I232" s="380"/>
      <c r="J232" s="374" t="s">
        <v>163</v>
      </c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4"/>
      <c r="V232" s="374"/>
      <c r="W232" s="374"/>
      <c r="X232" s="374"/>
      <c r="Y232" s="374"/>
      <c r="Z232" s="374"/>
      <c r="AA232" s="374"/>
      <c r="AB232" s="374"/>
      <c r="AC232" s="374"/>
      <c r="AD232" s="374"/>
      <c r="AE232" s="387"/>
      <c r="AF232" s="369" t="s">
        <v>252</v>
      </c>
      <c r="AG232" s="370"/>
      <c r="AH232" s="370"/>
      <c r="AI232" s="371"/>
      <c r="AJ232" s="370" t="s">
        <v>252</v>
      </c>
      <c r="AK232" s="370"/>
      <c r="AL232" s="370"/>
      <c r="AM232" s="370"/>
      <c r="AN232" s="369"/>
      <c r="AO232" s="370"/>
      <c r="AP232" s="370"/>
      <c r="AQ232" s="371"/>
      <c r="AR232" s="24"/>
      <c r="AS232" s="65">
        <v>3000</v>
      </c>
      <c r="AT232" s="55">
        <v>3000</v>
      </c>
      <c r="AU232" s="55"/>
      <c r="AV232" s="56">
        <f t="shared" si="15"/>
        <v>3000</v>
      </c>
      <c r="AW232" s="32"/>
      <c r="AX232" s="28"/>
      <c r="AY232" s="29">
        <f t="shared" si="14"/>
        <v>-3000</v>
      </c>
      <c r="AZ232" s="25"/>
      <c r="BA232" s="30">
        <v>3000</v>
      </c>
    </row>
    <row r="233" spans="1:53" ht="12.75" hidden="1">
      <c r="A233" s="406"/>
      <c r="B233" s="376" t="s">
        <v>506</v>
      </c>
      <c r="C233" s="377"/>
      <c r="D233" s="377"/>
      <c r="E233" s="378"/>
      <c r="F233" s="379" t="s">
        <v>276</v>
      </c>
      <c r="G233" s="380"/>
      <c r="H233" s="380"/>
      <c r="I233" s="380"/>
      <c r="J233" s="374" t="s">
        <v>277</v>
      </c>
      <c r="K233" s="374"/>
      <c r="L233" s="374"/>
      <c r="M233" s="374"/>
      <c r="N233" s="374"/>
      <c r="O233" s="374"/>
      <c r="P233" s="374"/>
      <c r="Q233" s="374"/>
      <c r="R233" s="374"/>
      <c r="S233" s="374"/>
      <c r="T233" s="374"/>
      <c r="U233" s="374"/>
      <c r="V233" s="374"/>
      <c r="W233" s="374"/>
      <c r="X233" s="374"/>
      <c r="Y233" s="374"/>
      <c r="Z233" s="374"/>
      <c r="AA233" s="374"/>
      <c r="AB233" s="374"/>
      <c r="AC233" s="374"/>
      <c r="AD233" s="374"/>
      <c r="AE233" s="387"/>
      <c r="AF233" s="369"/>
      <c r="AG233" s="370"/>
      <c r="AH233" s="370"/>
      <c r="AI233" s="371"/>
      <c r="AJ233" s="370" t="s">
        <v>520</v>
      </c>
      <c r="AK233" s="370"/>
      <c r="AL233" s="370"/>
      <c r="AM233" s="370"/>
      <c r="AN233" s="369" t="s">
        <v>521</v>
      </c>
      <c r="AO233" s="370"/>
      <c r="AP233" s="370"/>
      <c r="AQ233" s="371"/>
      <c r="AR233" s="24"/>
      <c r="AS233" s="65"/>
      <c r="AT233" s="55">
        <v>7800</v>
      </c>
      <c r="AU233" s="55"/>
      <c r="AV233" s="56">
        <f t="shared" si="15"/>
        <v>7800</v>
      </c>
      <c r="AW233" s="32"/>
      <c r="AX233" s="28">
        <v>7610</v>
      </c>
      <c r="AY233" s="29">
        <f t="shared" si="14"/>
        <v>-190</v>
      </c>
      <c r="AZ233" s="25"/>
      <c r="BA233" s="30"/>
    </row>
    <row r="234" spans="1:53" ht="12.75" hidden="1">
      <c r="A234" s="406"/>
      <c r="B234" s="376" t="s">
        <v>506</v>
      </c>
      <c r="C234" s="377"/>
      <c r="D234" s="377"/>
      <c r="E234" s="378"/>
      <c r="F234" s="379" t="s">
        <v>142</v>
      </c>
      <c r="G234" s="380"/>
      <c r="H234" s="380"/>
      <c r="I234" s="380"/>
      <c r="J234" s="374" t="s">
        <v>143</v>
      </c>
      <c r="K234" s="374"/>
      <c r="L234" s="374"/>
      <c r="M234" s="374"/>
      <c r="N234" s="374"/>
      <c r="O234" s="374"/>
      <c r="P234" s="374"/>
      <c r="Q234" s="374"/>
      <c r="R234" s="374"/>
      <c r="S234" s="374"/>
      <c r="T234" s="374"/>
      <c r="U234" s="374"/>
      <c r="V234" s="374"/>
      <c r="W234" s="374"/>
      <c r="X234" s="374"/>
      <c r="Y234" s="374"/>
      <c r="Z234" s="374"/>
      <c r="AA234" s="374"/>
      <c r="AB234" s="374"/>
      <c r="AC234" s="374"/>
      <c r="AD234" s="374"/>
      <c r="AE234" s="387"/>
      <c r="AF234" s="369" t="s">
        <v>522</v>
      </c>
      <c r="AG234" s="370"/>
      <c r="AH234" s="370"/>
      <c r="AI234" s="371"/>
      <c r="AJ234" s="370" t="s">
        <v>523</v>
      </c>
      <c r="AK234" s="370"/>
      <c r="AL234" s="370"/>
      <c r="AM234" s="370"/>
      <c r="AN234" s="369" t="s">
        <v>524</v>
      </c>
      <c r="AO234" s="370"/>
      <c r="AP234" s="370"/>
      <c r="AQ234" s="371"/>
      <c r="AR234" s="24"/>
      <c r="AS234" s="65">
        <v>51000</v>
      </c>
      <c r="AT234" s="55">
        <v>105300</v>
      </c>
      <c r="AU234" s="55">
        <f>AV234-AT234</f>
        <v>-35000</v>
      </c>
      <c r="AV234" s="55">
        <f>105300-35000</f>
        <v>70300</v>
      </c>
      <c r="AW234" s="27"/>
      <c r="AX234" s="28">
        <v>62454</v>
      </c>
      <c r="AY234" s="29">
        <f t="shared" si="14"/>
        <v>-7846</v>
      </c>
      <c r="AZ234" s="25"/>
      <c r="BA234" s="30">
        <v>51000</v>
      </c>
    </row>
    <row r="235" spans="1:53" ht="12.75" hidden="1">
      <c r="A235" s="406"/>
      <c r="B235" s="376" t="s">
        <v>506</v>
      </c>
      <c r="C235" s="377"/>
      <c r="D235" s="377"/>
      <c r="E235" s="378"/>
      <c r="F235" s="379" t="s">
        <v>146</v>
      </c>
      <c r="G235" s="380"/>
      <c r="H235" s="380"/>
      <c r="I235" s="380"/>
      <c r="J235" s="374" t="s">
        <v>147</v>
      </c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4"/>
      <c r="AE235" s="387"/>
      <c r="AF235" s="369" t="s">
        <v>310</v>
      </c>
      <c r="AG235" s="370"/>
      <c r="AH235" s="370"/>
      <c r="AI235" s="371"/>
      <c r="AJ235" s="370" t="s">
        <v>525</v>
      </c>
      <c r="AK235" s="370"/>
      <c r="AL235" s="370"/>
      <c r="AM235" s="370"/>
      <c r="AN235" s="369" t="s">
        <v>526</v>
      </c>
      <c r="AO235" s="370"/>
      <c r="AP235" s="370"/>
      <c r="AQ235" s="371"/>
      <c r="AR235" s="24"/>
      <c r="AS235" s="65">
        <v>66000</v>
      </c>
      <c r="AT235" s="55">
        <v>146000</v>
      </c>
      <c r="AU235" s="55"/>
      <c r="AV235" s="56">
        <f>AT235+AU235</f>
        <v>146000</v>
      </c>
      <c r="AW235" s="32"/>
      <c r="AX235" s="28">
        <v>17487</v>
      </c>
      <c r="AY235" s="29">
        <f t="shared" si="14"/>
        <v>-128513</v>
      </c>
      <c r="AZ235" s="25"/>
      <c r="BA235" s="30">
        <v>66000</v>
      </c>
    </row>
    <row r="236" spans="1:53" s="2" customFormat="1" ht="12.75">
      <c r="A236" s="406"/>
      <c r="B236" s="382" t="s">
        <v>506</v>
      </c>
      <c r="C236" s="383"/>
      <c r="D236" s="383"/>
      <c r="E236" s="384"/>
      <c r="F236" s="396" t="s">
        <v>527</v>
      </c>
      <c r="G236" s="385"/>
      <c r="H236" s="385"/>
      <c r="I236" s="385"/>
      <c r="J236" s="385"/>
      <c r="K236" s="385"/>
      <c r="L236" s="385"/>
      <c r="M236" s="385"/>
      <c r="N236" s="385"/>
      <c r="O236" s="385"/>
      <c r="P236" s="385"/>
      <c r="Q236" s="385"/>
      <c r="R236" s="385"/>
      <c r="S236" s="385"/>
      <c r="T236" s="385"/>
      <c r="U236" s="385"/>
      <c r="V236" s="385"/>
      <c r="W236" s="385"/>
      <c r="X236" s="385"/>
      <c r="Y236" s="385"/>
      <c r="Z236" s="385"/>
      <c r="AA236" s="385"/>
      <c r="AB236" s="385"/>
      <c r="AC236" s="385"/>
      <c r="AD236" s="385"/>
      <c r="AE236" s="397"/>
      <c r="AF236" s="389" t="s">
        <v>528</v>
      </c>
      <c r="AG236" s="390"/>
      <c r="AH236" s="390"/>
      <c r="AI236" s="391"/>
      <c r="AJ236" s="390" t="s">
        <v>529</v>
      </c>
      <c r="AK236" s="390"/>
      <c r="AL236" s="390"/>
      <c r="AM236" s="390"/>
      <c r="AN236" s="389" t="s">
        <v>530</v>
      </c>
      <c r="AO236" s="390"/>
      <c r="AP236" s="390"/>
      <c r="AQ236" s="391"/>
      <c r="AR236" s="43"/>
      <c r="AS236" s="64">
        <f>SUM(AS223:AS235)</f>
        <v>350000</v>
      </c>
      <c r="AT236" s="57">
        <f>SUM(AT223:AT235)</f>
        <v>676100</v>
      </c>
      <c r="AU236" s="57">
        <f>SUM(AU223:AU235)+104000</f>
        <v>0</v>
      </c>
      <c r="AV236" s="57">
        <f>SUM(AV223:AV235)</f>
        <v>572100</v>
      </c>
      <c r="AW236" s="33">
        <f>AV236-AT236</f>
        <v>-104000</v>
      </c>
      <c r="AX236" s="34">
        <f>SUM(AX223:AX235)</f>
        <v>396924.37</v>
      </c>
      <c r="AY236" s="35">
        <f>SUM(AY223:AY235)</f>
        <v>-175175.63</v>
      </c>
      <c r="AZ236" s="44"/>
      <c r="BA236" s="36">
        <f>SUM(BA223:BA235)</f>
        <v>350000</v>
      </c>
    </row>
    <row r="237" spans="1:53" ht="12.75" hidden="1">
      <c r="A237" s="411">
        <v>9</v>
      </c>
      <c r="B237" s="376" t="s">
        <v>531</v>
      </c>
      <c r="C237" s="377"/>
      <c r="D237" s="377"/>
      <c r="E237" s="378"/>
      <c r="F237" s="379" t="s">
        <v>532</v>
      </c>
      <c r="G237" s="380"/>
      <c r="H237" s="380"/>
      <c r="I237" s="380"/>
      <c r="J237" s="374" t="s">
        <v>533</v>
      </c>
      <c r="K237" s="374"/>
      <c r="L237" s="374"/>
      <c r="M237" s="374"/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  <c r="X237" s="374"/>
      <c r="Y237" s="374"/>
      <c r="Z237" s="374"/>
      <c r="AA237" s="374"/>
      <c r="AB237" s="374"/>
      <c r="AC237" s="374"/>
      <c r="AD237" s="374"/>
      <c r="AE237" s="387"/>
      <c r="AF237" s="369" t="s">
        <v>534</v>
      </c>
      <c r="AG237" s="370"/>
      <c r="AH237" s="370"/>
      <c r="AI237" s="371"/>
      <c r="AJ237" s="370" t="s">
        <v>534</v>
      </c>
      <c r="AK237" s="370"/>
      <c r="AL237" s="370"/>
      <c r="AM237" s="370"/>
      <c r="AN237" s="369" t="s">
        <v>535</v>
      </c>
      <c r="AO237" s="370"/>
      <c r="AP237" s="370"/>
      <c r="AQ237" s="371"/>
      <c r="AR237" s="24"/>
      <c r="AS237" s="65">
        <v>2085000</v>
      </c>
      <c r="AT237" s="55">
        <v>2085000</v>
      </c>
      <c r="AU237" s="55"/>
      <c r="AV237" s="56">
        <f aca="true" t="shared" si="16" ref="AV237:AV247">AT237+AU237</f>
        <v>2085000</v>
      </c>
      <c r="AW237" s="32"/>
      <c r="AX237" s="28">
        <v>1748536</v>
      </c>
      <c r="AY237" s="29">
        <f aca="true" t="shared" si="17" ref="AY237:AY247">AX237-AV237</f>
        <v>-336464</v>
      </c>
      <c r="AZ237" s="25"/>
      <c r="BA237" s="30">
        <v>2085000</v>
      </c>
    </row>
    <row r="238" spans="1:53" ht="12.75" hidden="1">
      <c r="A238" s="395"/>
      <c r="B238" s="376" t="s">
        <v>531</v>
      </c>
      <c r="C238" s="377"/>
      <c r="D238" s="377"/>
      <c r="E238" s="378"/>
      <c r="F238" s="379" t="s">
        <v>254</v>
      </c>
      <c r="G238" s="380"/>
      <c r="H238" s="380"/>
      <c r="I238" s="380"/>
      <c r="J238" s="374" t="s">
        <v>255</v>
      </c>
      <c r="K238" s="374"/>
      <c r="L238" s="374"/>
      <c r="M238" s="374"/>
      <c r="N238" s="374"/>
      <c r="O238" s="374"/>
      <c r="P238" s="374"/>
      <c r="Q238" s="374"/>
      <c r="R238" s="374"/>
      <c r="S238" s="374"/>
      <c r="T238" s="374"/>
      <c r="U238" s="374"/>
      <c r="V238" s="374"/>
      <c r="W238" s="374"/>
      <c r="X238" s="374"/>
      <c r="Y238" s="374"/>
      <c r="Z238" s="374"/>
      <c r="AA238" s="374"/>
      <c r="AB238" s="374"/>
      <c r="AC238" s="374"/>
      <c r="AD238" s="374"/>
      <c r="AE238" s="387"/>
      <c r="AF238" s="369"/>
      <c r="AG238" s="370"/>
      <c r="AH238" s="370"/>
      <c r="AI238" s="371"/>
      <c r="AJ238" s="370"/>
      <c r="AK238" s="370"/>
      <c r="AL238" s="370"/>
      <c r="AM238" s="370"/>
      <c r="AN238" s="369" t="s">
        <v>536</v>
      </c>
      <c r="AO238" s="370"/>
      <c r="AP238" s="370"/>
      <c r="AQ238" s="371"/>
      <c r="AR238" s="24"/>
      <c r="AS238" s="65"/>
      <c r="AT238" s="55"/>
      <c r="AU238" s="55"/>
      <c r="AV238" s="56">
        <f t="shared" si="16"/>
        <v>0</v>
      </c>
      <c r="AW238" s="32"/>
      <c r="AX238" s="28">
        <v>1260</v>
      </c>
      <c r="AY238" s="29">
        <f t="shared" si="17"/>
        <v>1260</v>
      </c>
      <c r="AZ238" s="25"/>
      <c r="BA238" s="30"/>
    </row>
    <row r="239" spans="1:53" ht="12.75" hidden="1">
      <c r="A239" s="395"/>
      <c r="B239" s="376" t="s">
        <v>531</v>
      </c>
      <c r="C239" s="377"/>
      <c r="D239" s="377"/>
      <c r="E239" s="378"/>
      <c r="F239" s="379" t="s">
        <v>257</v>
      </c>
      <c r="G239" s="380"/>
      <c r="H239" s="380"/>
      <c r="I239" s="380"/>
      <c r="J239" s="374" t="s">
        <v>258</v>
      </c>
      <c r="K239" s="374"/>
      <c r="L239" s="374"/>
      <c r="M239" s="374"/>
      <c r="N239" s="374"/>
      <c r="O239" s="374"/>
      <c r="P239" s="374"/>
      <c r="Q239" s="374"/>
      <c r="R239" s="374"/>
      <c r="S239" s="374"/>
      <c r="T239" s="374"/>
      <c r="U239" s="374"/>
      <c r="V239" s="374"/>
      <c r="W239" s="374"/>
      <c r="X239" s="374"/>
      <c r="Y239" s="374"/>
      <c r="Z239" s="374"/>
      <c r="AA239" s="374"/>
      <c r="AB239" s="374"/>
      <c r="AC239" s="374"/>
      <c r="AD239" s="374"/>
      <c r="AE239" s="387"/>
      <c r="AF239" s="369"/>
      <c r="AG239" s="370"/>
      <c r="AH239" s="370"/>
      <c r="AI239" s="371"/>
      <c r="AJ239" s="370"/>
      <c r="AK239" s="370"/>
      <c r="AL239" s="370"/>
      <c r="AM239" s="370"/>
      <c r="AN239" s="369" t="s">
        <v>537</v>
      </c>
      <c r="AO239" s="370"/>
      <c r="AP239" s="370"/>
      <c r="AQ239" s="371"/>
      <c r="AR239" s="24"/>
      <c r="AS239" s="65"/>
      <c r="AT239" s="55"/>
      <c r="AU239" s="55"/>
      <c r="AV239" s="56">
        <f t="shared" si="16"/>
        <v>0</v>
      </c>
      <c r="AW239" s="32"/>
      <c r="AX239" s="28">
        <v>1990</v>
      </c>
      <c r="AY239" s="29">
        <f t="shared" si="17"/>
        <v>1990</v>
      </c>
      <c r="AZ239" s="25"/>
      <c r="BA239" s="30"/>
    </row>
    <row r="240" spans="1:53" ht="12.75" hidden="1">
      <c r="A240" s="395"/>
      <c r="B240" s="376" t="s">
        <v>531</v>
      </c>
      <c r="C240" s="377"/>
      <c r="D240" s="377"/>
      <c r="E240" s="378"/>
      <c r="F240" s="379" t="s">
        <v>259</v>
      </c>
      <c r="G240" s="380"/>
      <c r="H240" s="380"/>
      <c r="I240" s="380"/>
      <c r="J240" s="374" t="s">
        <v>260</v>
      </c>
      <c r="K240" s="374"/>
      <c r="L240" s="374"/>
      <c r="M240" s="374"/>
      <c r="N240" s="374"/>
      <c r="O240" s="374"/>
      <c r="P240" s="374"/>
      <c r="Q240" s="374"/>
      <c r="R240" s="374"/>
      <c r="S240" s="374"/>
      <c r="T240" s="374"/>
      <c r="U240" s="374"/>
      <c r="V240" s="374"/>
      <c r="W240" s="374"/>
      <c r="X240" s="374"/>
      <c r="Y240" s="374"/>
      <c r="Z240" s="374"/>
      <c r="AA240" s="374"/>
      <c r="AB240" s="374"/>
      <c r="AC240" s="374"/>
      <c r="AD240" s="374"/>
      <c r="AE240" s="387"/>
      <c r="AF240" s="369" t="s">
        <v>248</v>
      </c>
      <c r="AG240" s="370"/>
      <c r="AH240" s="370"/>
      <c r="AI240" s="371"/>
      <c r="AJ240" s="370" t="s">
        <v>248</v>
      </c>
      <c r="AK240" s="370"/>
      <c r="AL240" s="370"/>
      <c r="AM240" s="370"/>
      <c r="AN240" s="369" t="s">
        <v>538</v>
      </c>
      <c r="AO240" s="370"/>
      <c r="AP240" s="370"/>
      <c r="AQ240" s="371"/>
      <c r="AR240" s="24"/>
      <c r="AS240" s="65">
        <v>27000</v>
      </c>
      <c r="AT240" s="55">
        <v>27000</v>
      </c>
      <c r="AU240" s="55"/>
      <c r="AV240" s="56">
        <f t="shared" si="16"/>
        <v>27000</v>
      </c>
      <c r="AW240" s="32"/>
      <c r="AX240" s="28">
        <v>17286</v>
      </c>
      <c r="AY240" s="29">
        <f t="shared" si="17"/>
        <v>-9714</v>
      </c>
      <c r="AZ240" s="25"/>
      <c r="BA240" s="30">
        <v>27000</v>
      </c>
    </row>
    <row r="241" spans="1:53" ht="12.75" hidden="1">
      <c r="A241" s="395"/>
      <c r="B241" s="376" t="s">
        <v>531</v>
      </c>
      <c r="C241" s="377"/>
      <c r="D241" s="377"/>
      <c r="E241" s="378"/>
      <c r="F241" s="379" t="s">
        <v>162</v>
      </c>
      <c r="G241" s="380"/>
      <c r="H241" s="380"/>
      <c r="I241" s="380"/>
      <c r="J241" s="374" t="s">
        <v>163</v>
      </c>
      <c r="K241" s="374"/>
      <c r="L241" s="374"/>
      <c r="M241" s="374"/>
      <c r="N241" s="374"/>
      <c r="O241" s="374"/>
      <c r="P241" s="374"/>
      <c r="Q241" s="374"/>
      <c r="R241" s="374"/>
      <c r="S241" s="374"/>
      <c r="T241" s="374"/>
      <c r="U241" s="374"/>
      <c r="V241" s="374"/>
      <c r="W241" s="374"/>
      <c r="X241" s="374"/>
      <c r="Y241" s="374"/>
      <c r="Z241" s="374"/>
      <c r="AA241" s="374"/>
      <c r="AB241" s="374"/>
      <c r="AC241" s="374"/>
      <c r="AD241" s="374"/>
      <c r="AE241" s="387"/>
      <c r="AF241" s="369" t="s">
        <v>278</v>
      </c>
      <c r="AG241" s="370"/>
      <c r="AH241" s="370"/>
      <c r="AI241" s="371"/>
      <c r="AJ241" s="370" t="s">
        <v>278</v>
      </c>
      <c r="AK241" s="370"/>
      <c r="AL241" s="370"/>
      <c r="AM241" s="370"/>
      <c r="AN241" s="369"/>
      <c r="AO241" s="370"/>
      <c r="AP241" s="370"/>
      <c r="AQ241" s="371"/>
      <c r="AR241" s="24"/>
      <c r="AS241" s="65">
        <v>1000</v>
      </c>
      <c r="AT241" s="55">
        <v>1000</v>
      </c>
      <c r="AU241" s="55"/>
      <c r="AV241" s="56">
        <f t="shared" si="16"/>
        <v>1000</v>
      </c>
      <c r="AW241" s="32"/>
      <c r="AX241" s="28"/>
      <c r="AY241" s="29">
        <f t="shared" si="17"/>
        <v>-1000</v>
      </c>
      <c r="AZ241" s="25"/>
      <c r="BA241" s="30">
        <v>1000</v>
      </c>
    </row>
    <row r="242" spans="1:53" ht="12.75" hidden="1">
      <c r="A242" s="395"/>
      <c r="B242" s="376" t="s">
        <v>531</v>
      </c>
      <c r="C242" s="377"/>
      <c r="D242" s="377"/>
      <c r="E242" s="378"/>
      <c r="F242" s="379" t="s">
        <v>276</v>
      </c>
      <c r="G242" s="380"/>
      <c r="H242" s="380"/>
      <c r="I242" s="380"/>
      <c r="J242" s="374" t="s">
        <v>277</v>
      </c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  <c r="Y242" s="374"/>
      <c r="Z242" s="374"/>
      <c r="AA242" s="374"/>
      <c r="AB242" s="374"/>
      <c r="AC242" s="374"/>
      <c r="AD242" s="374"/>
      <c r="AE242" s="387"/>
      <c r="AF242" s="369" t="s">
        <v>34</v>
      </c>
      <c r="AG242" s="370"/>
      <c r="AH242" s="370"/>
      <c r="AI242" s="371"/>
      <c r="AJ242" s="370" t="s">
        <v>34</v>
      </c>
      <c r="AK242" s="370"/>
      <c r="AL242" s="370"/>
      <c r="AM242" s="370"/>
      <c r="AN242" s="369" t="s">
        <v>539</v>
      </c>
      <c r="AO242" s="370"/>
      <c r="AP242" s="370"/>
      <c r="AQ242" s="371"/>
      <c r="AR242" s="24"/>
      <c r="AS242" s="65">
        <v>11000</v>
      </c>
      <c r="AT242" s="55">
        <v>11000</v>
      </c>
      <c r="AU242" s="55"/>
      <c r="AV242" s="56">
        <f t="shared" si="16"/>
        <v>11000</v>
      </c>
      <c r="AW242" s="32"/>
      <c r="AX242" s="28">
        <v>15720</v>
      </c>
      <c r="AY242" s="29">
        <f t="shared" si="17"/>
        <v>4720</v>
      </c>
      <c r="AZ242" s="25"/>
      <c r="BA242" s="30">
        <v>11000</v>
      </c>
    </row>
    <row r="243" spans="1:53" ht="12.75" hidden="1">
      <c r="A243" s="395"/>
      <c r="B243" s="376" t="s">
        <v>531</v>
      </c>
      <c r="C243" s="377"/>
      <c r="D243" s="377"/>
      <c r="E243" s="378"/>
      <c r="F243" s="379" t="s">
        <v>142</v>
      </c>
      <c r="G243" s="380"/>
      <c r="H243" s="380"/>
      <c r="I243" s="380"/>
      <c r="J243" s="374" t="s">
        <v>143</v>
      </c>
      <c r="K243" s="374"/>
      <c r="L243" s="374"/>
      <c r="M243" s="374"/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  <c r="Y243" s="374"/>
      <c r="Z243" s="374"/>
      <c r="AA243" s="374"/>
      <c r="AB243" s="374"/>
      <c r="AC243" s="374"/>
      <c r="AD243" s="374"/>
      <c r="AE243" s="387"/>
      <c r="AF243" s="369" t="s">
        <v>540</v>
      </c>
      <c r="AG243" s="370"/>
      <c r="AH243" s="370"/>
      <c r="AI243" s="371"/>
      <c r="AJ243" s="370" t="s">
        <v>541</v>
      </c>
      <c r="AK243" s="370"/>
      <c r="AL243" s="370"/>
      <c r="AM243" s="370"/>
      <c r="AN243" s="369" t="s">
        <v>542</v>
      </c>
      <c r="AO243" s="370"/>
      <c r="AP243" s="370"/>
      <c r="AQ243" s="371"/>
      <c r="AR243" s="24"/>
      <c r="AS243" s="65">
        <v>448000</v>
      </c>
      <c r="AT243" s="55">
        <v>515000</v>
      </c>
      <c r="AU243" s="55"/>
      <c r="AV243" s="56">
        <f t="shared" si="16"/>
        <v>515000</v>
      </c>
      <c r="AW243" s="32"/>
      <c r="AX243" s="28">
        <v>319619</v>
      </c>
      <c r="AY243" s="29">
        <f t="shared" si="17"/>
        <v>-195381</v>
      </c>
      <c r="AZ243" s="25"/>
      <c r="BA243" s="30">
        <v>448000</v>
      </c>
    </row>
    <row r="244" spans="1:53" ht="12.75" hidden="1">
      <c r="A244" s="395"/>
      <c r="B244" s="376" t="s">
        <v>531</v>
      </c>
      <c r="C244" s="377"/>
      <c r="D244" s="377"/>
      <c r="E244" s="378"/>
      <c r="F244" s="379" t="s">
        <v>477</v>
      </c>
      <c r="G244" s="380"/>
      <c r="H244" s="380"/>
      <c r="I244" s="380"/>
      <c r="J244" s="374" t="s">
        <v>478</v>
      </c>
      <c r="K244" s="374"/>
      <c r="L244" s="374"/>
      <c r="M244" s="374"/>
      <c r="N244" s="374"/>
      <c r="O244" s="374"/>
      <c r="P244" s="374"/>
      <c r="Q244" s="374"/>
      <c r="R244" s="374"/>
      <c r="S244" s="374"/>
      <c r="T244" s="374"/>
      <c r="U244" s="374"/>
      <c r="V244" s="374"/>
      <c r="W244" s="374"/>
      <c r="X244" s="374"/>
      <c r="Y244" s="374"/>
      <c r="Z244" s="374"/>
      <c r="AA244" s="374"/>
      <c r="AB244" s="374"/>
      <c r="AC244" s="374"/>
      <c r="AD244" s="374"/>
      <c r="AE244" s="387"/>
      <c r="AF244" s="369" t="s">
        <v>261</v>
      </c>
      <c r="AG244" s="370"/>
      <c r="AH244" s="370"/>
      <c r="AI244" s="371"/>
      <c r="AJ244" s="370" t="s">
        <v>261</v>
      </c>
      <c r="AK244" s="370"/>
      <c r="AL244" s="370"/>
      <c r="AM244" s="370"/>
      <c r="AN244" s="369"/>
      <c r="AO244" s="370"/>
      <c r="AP244" s="370"/>
      <c r="AQ244" s="371"/>
      <c r="AR244" s="24"/>
      <c r="AS244" s="65">
        <v>2000</v>
      </c>
      <c r="AT244" s="55">
        <v>2000</v>
      </c>
      <c r="AU244" s="55"/>
      <c r="AV244" s="56">
        <f t="shared" si="16"/>
        <v>2000</v>
      </c>
      <c r="AW244" s="32"/>
      <c r="AX244" s="28"/>
      <c r="AY244" s="29">
        <f t="shared" si="17"/>
        <v>-2000</v>
      </c>
      <c r="AZ244" s="25"/>
      <c r="BA244" s="30">
        <v>2000</v>
      </c>
    </row>
    <row r="245" spans="1:53" ht="12.75" hidden="1">
      <c r="A245" s="395"/>
      <c r="B245" s="376" t="s">
        <v>531</v>
      </c>
      <c r="C245" s="377"/>
      <c r="D245" s="377"/>
      <c r="E245" s="378"/>
      <c r="F245" s="379" t="s">
        <v>353</v>
      </c>
      <c r="G245" s="380"/>
      <c r="H245" s="380"/>
      <c r="I245" s="380"/>
      <c r="J245" s="374" t="s">
        <v>354</v>
      </c>
      <c r="K245" s="374"/>
      <c r="L245" s="374"/>
      <c r="M245" s="374"/>
      <c r="N245" s="374"/>
      <c r="O245" s="374"/>
      <c r="P245" s="374"/>
      <c r="Q245" s="374"/>
      <c r="R245" s="374"/>
      <c r="S245" s="374"/>
      <c r="T245" s="374"/>
      <c r="U245" s="374"/>
      <c r="V245" s="374"/>
      <c r="W245" s="374"/>
      <c r="X245" s="374"/>
      <c r="Y245" s="374"/>
      <c r="Z245" s="374"/>
      <c r="AA245" s="374"/>
      <c r="AB245" s="374"/>
      <c r="AC245" s="374"/>
      <c r="AD245" s="374"/>
      <c r="AE245" s="387"/>
      <c r="AF245" s="369" t="s">
        <v>543</v>
      </c>
      <c r="AG245" s="370"/>
      <c r="AH245" s="370"/>
      <c r="AI245" s="371"/>
      <c r="AJ245" s="370" t="s">
        <v>544</v>
      </c>
      <c r="AK245" s="370"/>
      <c r="AL245" s="370"/>
      <c r="AM245" s="370"/>
      <c r="AN245" s="369" t="s">
        <v>545</v>
      </c>
      <c r="AO245" s="370"/>
      <c r="AP245" s="370"/>
      <c r="AQ245" s="371"/>
      <c r="AR245" s="24"/>
      <c r="AS245" s="65">
        <v>109000</v>
      </c>
      <c r="AT245" s="55">
        <v>108000</v>
      </c>
      <c r="AU245" s="55"/>
      <c r="AV245" s="56">
        <f t="shared" si="16"/>
        <v>108000</v>
      </c>
      <c r="AW245" s="32"/>
      <c r="AX245" s="28">
        <v>32917</v>
      </c>
      <c r="AY245" s="29">
        <f t="shared" si="17"/>
        <v>-75083</v>
      </c>
      <c r="AZ245" s="25"/>
      <c r="BA245" s="30">
        <v>109000</v>
      </c>
    </row>
    <row r="246" spans="1:53" ht="12.75" hidden="1">
      <c r="A246" s="395"/>
      <c r="B246" s="376" t="s">
        <v>531</v>
      </c>
      <c r="C246" s="377"/>
      <c r="D246" s="377"/>
      <c r="E246" s="378"/>
      <c r="F246" s="402" t="s">
        <v>360</v>
      </c>
      <c r="G246" s="403"/>
      <c r="H246" s="403"/>
      <c r="I246" s="403"/>
      <c r="J246" s="374" t="s">
        <v>361</v>
      </c>
      <c r="K246" s="374"/>
      <c r="L246" s="374"/>
      <c r="M246" s="374"/>
      <c r="N246" s="374"/>
      <c r="O246" s="374"/>
      <c r="P246" s="374"/>
      <c r="Q246" s="374"/>
      <c r="R246" s="374"/>
      <c r="S246" s="374"/>
      <c r="T246" s="374"/>
      <c r="U246" s="374"/>
      <c r="V246" s="374"/>
      <c r="W246" s="374"/>
      <c r="X246" s="374"/>
      <c r="Y246" s="374"/>
      <c r="Z246" s="374"/>
      <c r="AA246" s="374"/>
      <c r="AB246" s="374"/>
      <c r="AC246" s="374"/>
      <c r="AD246" s="374"/>
      <c r="AE246" s="387"/>
      <c r="AF246" s="369"/>
      <c r="AG246" s="370"/>
      <c r="AH246" s="370"/>
      <c r="AI246" s="371"/>
      <c r="AJ246" s="370" t="s">
        <v>546</v>
      </c>
      <c r="AK246" s="370"/>
      <c r="AL246" s="370"/>
      <c r="AM246" s="370"/>
      <c r="AN246" s="369" t="s">
        <v>547</v>
      </c>
      <c r="AO246" s="370"/>
      <c r="AP246" s="370"/>
      <c r="AQ246" s="371"/>
      <c r="AR246" s="24"/>
      <c r="AS246" s="65"/>
      <c r="AT246" s="55">
        <v>40000</v>
      </c>
      <c r="AU246" s="55"/>
      <c r="AV246" s="56">
        <f t="shared" si="16"/>
        <v>40000</v>
      </c>
      <c r="AW246" s="32"/>
      <c r="AX246" s="28">
        <v>39200</v>
      </c>
      <c r="AY246" s="29">
        <f t="shared" si="17"/>
        <v>-800</v>
      </c>
      <c r="AZ246" s="25"/>
      <c r="BA246" s="30"/>
    </row>
    <row r="247" spans="1:53" ht="12.75" hidden="1">
      <c r="A247" s="395"/>
      <c r="B247" s="376" t="s">
        <v>531</v>
      </c>
      <c r="C247" s="377"/>
      <c r="D247" s="377"/>
      <c r="E247" s="378"/>
      <c r="F247" s="379" t="s">
        <v>424</v>
      </c>
      <c r="G247" s="380"/>
      <c r="H247" s="380"/>
      <c r="I247" s="380"/>
      <c r="J247" s="374" t="s">
        <v>425</v>
      </c>
      <c r="K247" s="374"/>
      <c r="L247" s="374"/>
      <c r="M247" s="374"/>
      <c r="N247" s="374"/>
      <c r="O247" s="374"/>
      <c r="P247" s="374"/>
      <c r="Q247" s="374"/>
      <c r="R247" s="374"/>
      <c r="S247" s="374"/>
      <c r="T247" s="374"/>
      <c r="U247" s="374"/>
      <c r="V247" s="374"/>
      <c r="W247" s="374"/>
      <c r="X247" s="374"/>
      <c r="Y247" s="374"/>
      <c r="Z247" s="374"/>
      <c r="AA247" s="374"/>
      <c r="AB247" s="374"/>
      <c r="AC247" s="374"/>
      <c r="AD247" s="374"/>
      <c r="AE247" s="387"/>
      <c r="AF247" s="369" t="s">
        <v>318</v>
      </c>
      <c r="AG247" s="370"/>
      <c r="AH247" s="370"/>
      <c r="AI247" s="371"/>
      <c r="AJ247" s="370" t="s">
        <v>318</v>
      </c>
      <c r="AK247" s="370"/>
      <c r="AL247" s="370"/>
      <c r="AM247" s="370"/>
      <c r="AN247" s="369" t="s">
        <v>548</v>
      </c>
      <c r="AO247" s="370"/>
      <c r="AP247" s="370"/>
      <c r="AQ247" s="371"/>
      <c r="AR247" s="24"/>
      <c r="AS247" s="65">
        <v>24000</v>
      </c>
      <c r="AT247" s="55">
        <v>24000</v>
      </c>
      <c r="AU247" s="55"/>
      <c r="AV247" s="56">
        <f t="shared" si="16"/>
        <v>24000</v>
      </c>
      <c r="AW247" s="32"/>
      <c r="AX247" s="28">
        <v>27667.4</v>
      </c>
      <c r="AY247" s="29">
        <f t="shared" si="17"/>
        <v>3667.4000000000015</v>
      </c>
      <c r="AZ247" s="25"/>
      <c r="BA247" s="30">
        <v>24000</v>
      </c>
    </row>
    <row r="248" spans="1:53" s="2" customFormat="1" ht="12.75">
      <c r="A248" s="395"/>
      <c r="B248" s="382" t="s">
        <v>531</v>
      </c>
      <c r="C248" s="383"/>
      <c r="D248" s="383"/>
      <c r="E248" s="384"/>
      <c r="F248" s="396" t="s">
        <v>549</v>
      </c>
      <c r="G248" s="385"/>
      <c r="H248" s="385"/>
      <c r="I248" s="385"/>
      <c r="J248" s="385"/>
      <c r="K248" s="385"/>
      <c r="L248" s="385"/>
      <c r="M248" s="385"/>
      <c r="N248" s="385"/>
      <c r="O248" s="385"/>
      <c r="P248" s="385"/>
      <c r="Q248" s="385"/>
      <c r="R248" s="385"/>
      <c r="S248" s="385"/>
      <c r="T248" s="385"/>
      <c r="U248" s="385"/>
      <c r="V248" s="385"/>
      <c r="W248" s="385"/>
      <c r="X248" s="385"/>
      <c r="Y248" s="385"/>
      <c r="Z248" s="385"/>
      <c r="AA248" s="385"/>
      <c r="AB248" s="385"/>
      <c r="AC248" s="385"/>
      <c r="AD248" s="385"/>
      <c r="AE248" s="397"/>
      <c r="AF248" s="389" t="s">
        <v>550</v>
      </c>
      <c r="AG248" s="390"/>
      <c r="AH248" s="390"/>
      <c r="AI248" s="391"/>
      <c r="AJ248" s="390" t="s">
        <v>551</v>
      </c>
      <c r="AK248" s="390"/>
      <c r="AL248" s="390"/>
      <c r="AM248" s="390"/>
      <c r="AN248" s="389" t="s">
        <v>552</v>
      </c>
      <c r="AO248" s="390"/>
      <c r="AP248" s="390"/>
      <c r="AQ248" s="391"/>
      <c r="AR248" s="43"/>
      <c r="AS248" s="64">
        <f>SUM(AS237:AS247)</f>
        <v>2707000</v>
      </c>
      <c r="AT248" s="57">
        <f>SUM(AT237:AT247)</f>
        <v>2813000</v>
      </c>
      <c r="AU248" s="57">
        <f>SUM(AU237:AU247)</f>
        <v>0</v>
      </c>
      <c r="AV248" s="57">
        <f>SUM(AV237:AV247)</f>
        <v>2813000</v>
      </c>
      <c r="AW248" s="33">
        <f>AV248-AT248</f>
        <v>0</v>
      </c>
      <c r="AX248" s="34">
        <f>SUM(AX237:AX247)</f>
        <v>2204195.4</v>
      </c>
      <c r="AY248" s="35">
        <f>SUM(AY237:AY247)</f>
        <v>-608804.6</v>
      </c>
      <c r="AZ248" s="44"/>
      <c r="BA248" s="36">
        <f>SUM(BA237:BA247)</f>
        <v>2707000</v>
      </c>
    </row>
    <row r="249" spans="1:53" ht="12.75" hidden="1">
      <c r="A249" s="395"/>
      <c r="B249" s="376" t="s">
        <v>553</v>
      </c>
      <c r="C249" s="377"/>
      <c r="D249" s="377"/>
      <c r="E249" s="378"/>
      <c r="F249" s="379" t="s">
        <v>239</v>
      </c>
      <c r="G249" s="380"/>
      <c r="H249" s="380"/>
      <c r="I249" s="380"/>
      <c r="J249" s="374" t="s">
        <v>240</v>
      </c>
      <c r="K249" s="374"/>
      <c r="L249" s="374"/>
      <c r="M249" s="374"/>
      <c r="N249" s="374"/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  <c r="Y249" s="374"/>
      <c r="Z249" s="374"/>
      <c r="AA249" s="374"/>
      <c r="AB249" s="374"/>
      <c r="AC249" s="374"/>
      <c r="AD249" s="374"/>
      <c r="AE249" s="387"/>
      <c r="AF249" s="369"/>
      <c r="AG249" s="370"/>
      <c r="AH249" s="370"/>
      <c r="AI249" s="371"/>
      <c r="AJ249" s="370"/>
      <c r="AK249" s="370"/>
      <c r="AL249" s="370"/>
      <c r="AM249" s="370"/>
      <c r="AN249" s="369" t="s">
        <v>554</v>
      </c>
      <c r="AO249" s="370"/>
      <c r="AP249" s="370"/>
      <c r="AQ249" s="371"/>
      <c r="AR249" s="24"/>
      <c r="AS249" s="65"/>
      <c r="AT249" s="55">
        <f>11/11*97600</f>
        <v>97600</v>
      </c>
      <c r="AU249" s="55"/>
      <c r="AV249" s="56">
        <f>AT249+AU249</f>
        <v>97600</v>
      </c>
      <c r="AW249" s="32"/>
      <c r="AX249" s="28">
        <v>48923</v>
      </c>
      <c r="AY249" s="29">
        <f>AX249-AV249</f>
        <v>-48677</v>
      </c>
      <c r="AZ249" s="25"/>
      <c r="BA249" s="30"/>
    </row>
    <row r="250" spans="1:53" ht="12.75" customHeight="1" hidden="1">
      <c r="A250" s="395"/>
      <c r="B250" s="376" t="s">
        <v>553</v>
      </c>
      <c r="C250" s="377"/>
      <c r="D250" s="377"/>
      <c r="E250" s="378"/>
      <c r="F250" s="379" t="s">
        <v>259</v>
      </c>
      <c r="G250" s="380"/>
      <c r="H250" s="380"/>
      <c r="I250" s="380"/>
      <c r="J250" s="374" t="s">
        <v>260</v>
      </c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  <c r="Y250" s="374"/>
      <c r="Z250" s="374"/>
      <c r="AA250" s="374"/>
      <c r="AB250" s="374"/>
      <c r="AC250" s="374"/>
      <c r="AD250" s="374"/>
      <c r="AE250" s="387"/>
      <c r="AF250" s="53"/>
      <c r="AG250" s="31"/>
      <c r="AH250" s="31"/>
      <c r="AI250" s="54"/>
      <c r="AJ250" s="31"/>
      <c r="AK250" s="31"/>
      <c r="AL250" s="31"/>
      <c r="AM250" s="31"/>
      <c r="AN250" s="53"/>
      <c r="AO250" s="31"/>
      <c r="AP250" s="31"/>
      <c r="AQ250" s="54"/>
      <c r="AR250" s="24"/>
      <c r="AS250" s="65"/>
      <c r="AT250" s="55">
        <v>52300</v>
      </c>
      <c r="AU250" s="55"/>
      <c r="AV250" s="56">
        <f>AT250+AU250</f>
        <v>52300</v>
      </c>
      <c r="AW250" s="32"/>
      <c r="AX250" s="28"/>
      <c r="AY250" s="29">
        <f>AX250-AV250</f>
        <v>-52300</v>
      </c>
      <c r="AZ250" s="25"/>
      <c r="BA250" s="30"/>
    </row>
    <row r="251" spans="1:53" ht="12.75" customHeight="1" hidden="1">
      <c r="A251" s="395"/>
      <c r="B251" s="376" t="s">
        <v>553</v>
      </c>
      <c r="C251" s="377"/>
      <c r="D251" s="377"/>
      <c r="E251" s="378"/>
      <c r="F251" s="379" t="s">
        <v>272</v>
      </c>
      <c r="G251" s="380"/>
      <c r="H251" s="380"/>
      <c r="I251" s="380"/>
      <c r="J251" s="374" t="s">
        <v>273</v>
      </c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4"/>
      <c r="AC251" s="374"/>
      <c r="AD251" s="374"/>
      <c r="AE251" s="387"/>
      <c r="AF251" s="53"/>
      <c r="AG251" s="31"/>
      <c r="AH251" s="31"/>
      <c r="AI251" s="54"/>
      <c r="AJ251" s="31"/>
      <c r="AK251" s="31"/>
      <c r="AL251" s="31"/>
      <c r="AM251" s="31"/>
      <c r="AN251" s="53"/>
      <c r="AO251" s="31"/>
      <c r="AP251" s="31"/>
      <c r="AQ251" s="54"/>
      <c r="AR251" s="24"/>
      <c r="AS251" s="65"/>
      <c r="AT251" s="55">
        <v>10300</v>
      </c>
      <c r="AU251" s="55"/>
      <c r="AV251" s="56">
        <f>AT251+AU251</f>
        <v>10300</v>
      </c>
      <c r="AW251" s="32"/>
      <c r="AX251" s="28"/>
      <c r="AY251" s="29">
        <f>AX251-AV251</f>
        <v>-10300</v>
      </c>
      <c r="AZ251" s="25"/>
      <c r="BA251" s="30"/>
    </row>
    <row r="252" spans="1:53" ht="12.75" hidden="1">
      <c r="A252" s="395"/>
      <c r="B252" s="376" t="s">
        <v>553</v>
      </c>
      <c r="C252" s="377"/>
      <c r="D252" s="377"/>
      <c r="E252" s="378"/>
      <c r="F252" s="379" t="s">
        <v>162</v>
      </c>
      <c r="G252" s="380"/>
      <c r="H252" s="380"/>
      <c r="I252" s="380"/>
      <c r="J252" s="374" t="s">
        <v>163</v>
      </c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374"/>
      <c r="Z252" s="374"/>
      <c r="AA252" s="374"/>
      <c r="AB252" s="374"/>
      <c r="AC252" s="374"/>
      <c r="AD252" s="374"/>
      <c r="AE252" s="387"/>
      <c r="AF252" s="369"/>
      <c r="AG252" s="370"/>
      <c r="AH252" s="370"/>
      <c r="AI252" s="371"/>
      <c r="AJ252" s="370"/>
      <c r="AK252" s="370"/>
      <c r="AL252" s="370"/>
      <c r="AM252" s="370"/>
      <c r="AN252" s="369" t="s">
        <v>300</v>
      </c>
      <c r="AO252" s="370"/>
      <c r="AP252" s="370"/>
      <c r="AQ252" s="371"/>
      <c r="AR252" s="24"/>
      <c r="AS252" s="65"/>
      <c r="AT252" s="55">
        <v>15000</v>
      </c>
      <c r="AU252" s="55"/>
      <c r="AV252" s="56">
        <f>AT252+AU252</f>
        <v>15000</v>
      </c>
      <c r="AW252" s="32"/>
      <c r="AX252" s="28">
        <v>5000</v>
      </c>
      <c r="AY252" s="29">
        <f>AX252-AV252</f>
        <v>-10000</v>
      </c>
      <c r="AZ252" s="25"/>
      <c r="BA252" s="30"/>
    </row>
    <row r="253" spans="1:53" ht="12.75" hidden="1">
      <c r="A253" s="395"/>
      <c r="B253" s="376" t="s">
        <v>553</v>
      </c>
      <c r="C253" s="377"/>
      <c r="D253" s="377"/>
      <c r="E253" s="378"/>
      <c r="F253" s="379" t="s">
        <v>142</v>
      </c>
      <c r="G253" s="380"/>
      <c r="H253" s="380"/>
      <c r="I253" s="380"/>
      <c r="J253" s="374" t="s">
        <v>695</v>
      </c>
      <c r="K253" s="374"/>
      <c r="L253" s="374"/>
      <c r="M253" s="374"/>
      <c r="N253" s="374"/>
      <c r="O253" s="374"/>
      <c r="P253" s="374"/>
      <c r="Q253" s="374"/>
      <c r="R253" s="374"/>
      <c r="S253" s="374"/>
      <c r="T253" s="374"/>
      <c r="U253" s="374"/>
      <c r="V253" s="374"/>
      <c r="W253" s="374"/>
      <c r="X253" s="374"/>
      <c r="Y253" s="374"/>
      <c r="Z253" s="374"/>
      <c r="AA253" s="374"/>
      <c r="AB253" s="374"/>
      <c r="AC253" s="374"/>
      <c r="AD253" s="374"/>
      <c r="AE253" s="387"/>
      <c r="AF253" s="369"/>
      <c r="AG253" s="370"/>
      <c r="AH253" s="370"/>
      <c r="AI253" s="371"/>
      <c r="AJ253" s="370"/>
      <c r="AK253" s="370"/>
      <c r="AL253" s="370"/>
      <c r="AM253" s="370"/>
      <c r="AN253" s="369"/>
      <c r="AO253" s="370"/>
      <c r="AP253" s="370"/>
      <c r="AQ253" s="371"/>
      <c r="AR253" s="24"/>
      <c r="AS253" s="65"/>
      <c r="AT253" s="55">
        <f>7600+71300</f>
        <v>78900</v>
      </c>
      <c r="AU253" s="55"/>
      <c r="AV253" s="56">
        <f>AT253+AU253</f>
        <v>78900</v>
      </c>
      <c r="AW253" s="32"/>
      <c r="AX253" s="28">
        <v>5000</v>
      </c>
      <c r="AY253" s="29">
        <f>AX253-AV253</f>
        <v>-73900</v>
      </c>
      <c r="AZ253" s="25"/>
      <c r="BA253" s="30"/>
    </row>
    <row r="254" spans="1:53" s="2" customFormat="1" ht="12.75">
      <c r="A254" s="395"/>
      <c r="B254" s="382" t="s">
        <v>553</v>
      </c>
      <c r="C254" s="383"/>
      <c r="D254" s="383"/>
      <c r="E254" s="384"/>
      <c r="F254" s="396" t="s">
        <v>555</v>
      </c>
      <c r="G254" s="385"/>
      <c r="H254" s="385"/>
      <c r="I254" s="385"/>
      <c r="J254" s="385"/>
      <c r="K254" s="385"/>
      <c r="L254" s="385"/>
      <c r="M254" s="385"/>
      <c r="N254" s="385"/>
      <c r="O254" s="385"/>
      <c r="P254" s="385"/>
      <c r="Q254" s="385"/>
      <c r="R254" s="385"/>
      <c r="S254" s="385"/>
      <c r="T254" s="385"/>
      <c r="U254" s="385"/>
      <c r="V254" s="385"/>
      <c r="W254" s="385"/>
      <c r="X254" s="385"/>
      <c r="Y254" s="385"/>
      <c r="Z254" s="385"/>
      <c r="AA254" s="385"/>
      <c r="AB254" s="385"/>
      <c r="AC254" s="385"/>
      <c r="AD254" s="385"/>
      <c r="AE254" s="397"/>
      <c r="AF254" s="389"/>
      <c r="AG254" s="390"/>
      <c r="AH254" s="390"/>
      <c r="AI254" s="391"/>
      <c r="AJ254" s="390"/>
      <c r="AK254" s="390"/>
      <c r="AL254" s="390"/>
      <c r="AM254" s="390"/>
      <c r="AN254" s="389" t="s">
        <v>556</v>
      </c>
      <c r="AO254" s="390"/>
      <c r="AP254" s="390"/>
      <c r="AQ254" s="391"/>
      <c r="AR254" s="43"/>
      <c r="AS254" s="64">
        <f>SUM(AS249:AS253)</f>
        <v>0</v>
      </c>
      <c r="AT254" s="57">
        <f>SUM(AT249:AT253)</f>
        <v>254100</v>
      </c>
      <c r="AU254" s="57"/>
      <c r="AV254" s="57">
        <f>SUM(AV249:AV253)</f>
        <v>254100</v>
      </c>
      <c r="AW254" s="33">
        <f>AV254-AT254</f>
        <v>0</v>
      </c>
      <c r="AX254" s="34">
        <f>SUM(AX249:AX253)</f>
        <v>58923</v>
      </c>
      <c r="AY254" s="35">
        <f>SUM(AY249:AY253)</f>
        <v>-195177</v>
      </c>
      <c r="AZ254" s="44"/>
      <c r="BA254" s="36">
        <f>SUM(BA249:BA253)</f>
        <v>0</v>
      </c>
    </row>
    <row r="255" spans="1:53" ht="12.75" hidden="1">
      <c r="A255" s="395"/>
      <c r="B255" s="376" t="s">
        <v>557</v>
      </c>
      <c r="C255" s="377"/>
      <c r="D255" s="377"/>
      <c r="E255" s="378"/>
      <c r="F255" s="379" t="s">
        <v>239</v>
      </c>
      <c r="G255" s="380"/>
      <c r="H255" s="380"/>
      <c r="I255" s="380"/>
      <c r="J255" s="374" t="s">
        <v>240</v>
      </c>
      <c r="K255" s="374"/>
      <c r="L255" s="374"/>
      <c r="M255" s="374"/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  <c r="X255" s="374"/>
      <c r="Y255" s="374"/>
      <c r="Z255" s="374"/>
      <c r="AA255" s="374"/>
      <c r="AB255" s="374"/>
      <c r="AC255" s="374"/>
      <c r="AD255" s="374"/>
      <c r="AE255" s="387"/>
      <c r="AF255" s="369"/>
      <c r="AG255" s="370"/>
      <c r="AH255" s="370"/>
      <c r="AI255" s="371"/>
      <c r="AJ255" s="370" t="s">
        <v>543</v>
      </c>
      <c r="AK255" s="370"/>
      <c r="AL255" s="370"/>
      <c r="AM255" s="370"/>
      <c r="AN255" s="369" t="s">
        <v>558</v>
      </c>
      <c r="AO255" s="370"/>
      <c r="AP255" s="370"/>
      <c r="AQ255" s="371"/>
      <c r="AR255" s="24"/>
      <c r="AS255" s="65"/>
      <c r="AT255" s="55">
        <v>109000</v>
      </c>
      <c r="AU255" s="55"/>
      <c r="AV255" s="56">
        <f aca="true" t="shared" si="18" ref="AV255:AV260">AT255+AU255</f>
        <v>109000</v>
      </c>
      <c r="AW255" s="32"/>
      <c r="AX255" s="28">
        <v>108902</v>
      </c>
      <c r="AY255" s="29">
        <f aca="true" t="shared" si="19" ref="AY255:AY260">AX255-AV255</f>
        <v>-98</v>
      </c>
      <c r="AZ255" s="25"/>
      <c r="BA255" s="30"/>
    </row>
    <row r="256" spans="1:53" ht="12.75" hidden="1">
      <c r="A256" s="395"/>
      <c r="B256" s="376" t="s">
        <v>557</v>
      </c>
      <c r="C256" s="377"/>
      <c r="D256" s="377"/>
      <c r="E256" s="378"/>
      <c r="F256" s="379" t="s">
        <v>460</v>
      </c>
      <c r="G256" s="380"/>
      <c r="H256" s="380"/>
      <c r="I256" s="380"/>
      <c r="J256" s="374" t="s">
        <v>461</v>
      </c>
      <c r="K256" s="374"/>
      <c r="L256" s="374"/>
      <c r="M256" s="374"/>
      <c r="N256" s="374"/>
      <c r="O256" s="374"/>
      <c r="P256" s="374"/>
      <c r="Q256" s="374"/>
      <c r="R256" s="374"/>
      <c r="S256" s="374"/>
      <c r="T256" s="374"/>
      <c r="U256" s="374"/>
      <c r="V256" s="374"/>
      <c r="W256" s="374"/>
      <c r="X256" s="374"/>
      <c r="Y256" s="374"/>
      <c r="Z256" s="374"/>
      <c r="AA256" s="374"/>
      <c r="AB256" s="374"/>
      <c r="AC256" s="374"/>
      <c r="AD256" s="374"/>
      <c r="AE256" s="387"/>
      <c r="AF256" s="369"/>
      <c r="AG256" s="370"/>
      <c r="AH256" s="370"/>
      <c r="AI256" s="371"/>
      <c r="AJ256" s="370" t="s">
        <v>263</v>
      </c>
      <c r="AK256" s="370"/>
      <c r="AL256" s="370"/>
      <c r="AM256" s="370"/>
      <c r="AN256" s="369" t="s">
        <v>559</v>
      </c>
      <c r="AO256" s="370"/>
      <c r="AP256" s="370"/>
      <c r="AQ256" s="371"/>
      <c r="AR256" s="24"/>
      <c r="AS256" s="65"/>
      <c r="AT256" s="55">
        <v>4000</v>
      </c>
      <c r="AU256" s="55"/>
      <c r="AV256" s="56">
        <f t="shared" si="18"/>
        <v>4000</v>
      </c>
      <c r="AW256" s="32"/>
      <c r="AX256" s="28">
        <v>3588.85</v>
      </c>
      <c r="AY256" s="29">
        <f t="shared" si="19"/>
        <v>-411.1500000000001</v>
      </c>
      <c r="AZ256" s="25"/>
      <c r="BA256" s="30"/>
    </row>
    <row r="257" spans="1:53" ht="12.75" hidden="1">
      <c r="A257" s="395"/>
      <c r="B257" s="376" t="s">
        <v>557</v>
      </c>
      <c r="C257" s="377"/>
      <c r="D257" s="377"/>
      <c r="E257" s="378"/>
      <c r="F257" s="379" t="s">
        <v>272</v>
      </c>
      <c r="G257" s="380"/>
      <c r="H257" s="380"/>
      <c r="I257" s="380"/>
      <c r="J257" s="374" t="s">
        <v>273</v>
      </c>
      <c r="K257" s="374"/>
      <c r="L257" s="374"/>
      <c r="M257" s="374"/>
      <c r="N257" s="374"/>
      <c r="O257" s="374"/>
      <c r="P257" s="374"/>
      <c r="Q257" s="374"/>
      <c r="R257" s="374"/>
      <c r="S257" s="374"/>
      <c r="T257" s="374"/>
      <c r="U257" s="374"/>
      <c r="V257" s="374"/>
      <c r="W257" s="374"/>
      <c r="X257" s="374"/>
      <c r="Y257" s="374"/>
      <c r="Z257" s="374"/>
      <c r="AA257" s="374"/>
      <c r="AB257" s="374"/>
      <c r="AC257" s="374"/>
      <c r="AD257" s="374"/>
      <c r="AE257" s="387"/>
      <c r="AF257" s="369"/>
      <c r="AG257" s="370"/>
      <c r="AH257" s="370"/>
      <c r="AI257" s="371"/>
      <c r="AJ257" s="370" t="s">
        <v>560</v>
      </c>
      <c r="AK257" s="370"/>
      <c r="AL257" s="370"/>
      <c r="AM257" s="370"/>
      <c r="AN257" s="369" t="s">
        <v>561</v>
      </c>
      <c r="AO257" s="370"/>
      <c r="AP257" s="370"/>
      <c r="AQ257" s="371"/>
      <c r="AR257" s="24"/>
      <c r="AS257" s="65"/>
      <c r="AT257" s="55">
        <v>12000</v>
      </c>
      <c r="AU257" s="55"/>
      <c r="AV257" s="56">
        <f t="shared" si="18"/>
        <v>12000</v>
      </c>
      <c r="AW257" s="32"/>
      <c r="AX257" s="28">
        <v>11698.28</v>
      </c>
      <c r="AY257" s="29">
        <f t="shared" si="19"/>
        <v>-301.71999999999935</v>
      </c>
      <c r="AZ257" s="25"/>
      <c r="BA257" s="30"/>
    </row>
    <row r="258" spans="1:53" ht="12.75" hidden="1">
      <c r="A258" s="395"/>
      <c r="B258" s="376" t="s">
        <v>557</v>
      </c>
      <c r="C258" s="377"/>
      <c r="D258" s="377"/>
      <c r="E258" s="378"/>
      <c r="F258" s="379" t="s">
        <v>162</v>
      </c>
      <c r="G258" s="380"/>
      <c r="H258" s="380"/>
      <c r="I258" s="380"/>
      <c r="J258" s="374" t="s">
        <v>163</v>
      </c>
      <c r="K258" s="374"/>
      <c r="L258" s="374"/>
      <c r="M258" s="374"/>
      <c r="N258" s="374"/>
      <c r="O258" s="374"/>
      <c r="P258" s="374"/>
      <c r="Q258" s="374"/>
      <c r="R258" s="374"/>
      <c r="S258" s="374"/>
      <c r="T258" s="374"/>
      <c r="U258" s="374"/>
      <c r="V258" s="374"/>
      <c r="W258" s="374"/>
      <c r="X258" s="374"/>
      <c r="Y258" s="374"/>
      <c r="Z258" s="374"/>
      <c r="AA258" s="374"/>
      <c r="AB258" s="374"/>
      <c r="AC258" s="374"/>
      <c r="AD258" s="374"/>
      <c r="AE258" s="387"/>
      <c r="AF258" s="369"/>
      <c r="AG258" s="370"/>
      <c r="AH258" s="370"/>
      <c r="AI258" s="371"/>
      <c r="AJ258" s="370" t="s">
        <v>282</v>
      </c>
      <c r="AK258" s="370"/>
      <c r="AL258" s="370"/>
      <c r="AM258" s="370"/>
      <c r="AN258" s="369" t="s">
        <v>562</v>
      </c>
      <c r="AO258" s="370"/>
      <c r="AP258" s="370"/>
      <c r="AQ258" s="371"/>
      <c r="AR258" s="24"/>
      <c r="AS258" s="65"/>
      <c r="AT258" s="55">
        <v>30000</v>
      </c>
      <c r="AU258" s="55"/>
      <c r="AV258" s="56">
        <f t="shared" si="18"/>
        <v>30000</v>
      </c>
      <c r="AW258" s="32"/>
      <c r="AX258" s="28">
        <v>30163.6</v>
      </c>
      <c r="AY258" s="29">
        <f t="shared" si="19"/>
        <v>163.59999999999854</v>
      </c>
      <c r="AZ258" s="25"/>
      <c r="BA258" s="30"/>
    </row>
    <row r="259" spans="1:53" ht="12.75" hidden="1">
      <c r="A259" s="395"/>
      <c r="B259" s="376" t="s">
        <v>557</v>
      </c>
      <c r="C259" s="377"/>
      <c r="D259" s="377"/>
      <c r="E259" s="378"/>
      <c r="F259" s="379" t="s">
        <v>142</v>
      </c>
      <c r="G259" s="380"/>
      <c r="H259" s="380"/>
      <c r="I259" s="380"/>
      <c r="J259" s="374" t="s">
        <v>143</v>
      </c>
      <c r="K259" s="374"/>
      <c r="L259" s="374"/>
      <c r="M259" s="374"/>
      <c r="N259" s="374"/>
      <c r="O259" s="374"/>
      <c r="P259" s="374"/>
      <c r="Q259" s="374"/>
      <c r="R259" s="374"/>
      <c r="S259" s="374"/>
      <c r="T259" s="374"/>
      <c r="U259" s="374"/>
      <c r="V259" s="374"/>
      <c r="W259" s="374"/>
      <c r="X259" s="374"/>
      <c r="Y259" s="374"/>
      <c r="Z259" s="374"/>
      <c r="AA259" s="374"/>
      <c r="AB259" s="374"/>
      <c r="AC259" s="374"/>
      <c r="AD259" s="374"/>
      <c r="AE259" s="387"/>
      <c r="AF259" s="369"/>
      <c r="AG259" s="370"/>
      <c r="AH259" s="370"/>
      <c r="AI259" s="371"/>
      <c r="AJ259" s="370" t="s">
        <v>563</v>
      </c>
      <c r="AK259" s="370"/>
      <c r="AL259" s="370"/>
      <c r="AM259" s="370"/>
      <c r="AN259" s="369" t="s">
        <v>564</v>
      </c>
      <c r="AO259" s="370"/>
      <c r="AP259" s="370"/>
      <c r="AQ259" s="371"/>
      <c r="AR259" s="24"/>
      <c r="AS259" s="65"/>
      <c r="AT259" s="55">
        <v>106200</v>
      </c>
      <c r="AU259" s="55"/>
      <c r="AV259" s="56">
        <f t="shared" si="18"/>
        <v>106200</v>
      </c>
      <c r="AW259" s="32"/>
      <c r="AX259" s="28">
        <v>113798</v>
      </c>
      <c r="AY259" s="29">
        <f t="shared" si="19"/>
        <v>7598</v>
      </c>
      <c r="AZ259" s="25"/>
      <c r="BA259" s="30"/>
    </row>
    <row r="260" spans="1:53" ht="12.75" hidden="1">
      <c r="A260" s="395"/>
      <c r="B260" s="376" t="s">
        <v>557</v>
      </c>
      <c r="C260" s="377"/>
      <c r="D260" s="377"/>
      <c r="E260" s="378"/>
      <c r="F260" s="379" t="s">
        <v>477</v>
      </c>
      <c r="G260" s="380"/>
      <c r="H260" s="380"/>
      <c r="I260" s="380"/>
      <c r="J260" s="374" t="s">
        <v>478</v>
      </c>
      <c r="K260" s="374"/>
      <c r="L260" s="374"/>
      <c r="M260" s="374"/>
      <c r="N260" s="374"/>
      <c r="O260" s="374"/>
      <c r="P260" s="374"/>
      <c r="Q260" s="374"/>
      <c r="R260" s="374"/>
      <c r="S260" s="374"/>
      <c r="T260" s="374"/>
      <c r="U260" s="374"/>
      <c r="V260" s="374"/>
      <c r="W260" s="374"/>
      <c r="X260" s="374"/>
      <c r="Y260" s="374"/>
      <c r="Z260" s="374"/>
      <c r="AA260" s="374"/>
      <c r="AB260" s="374"/>
      <c r="AC260" s="374"/>
      <c r="AD260" s="374"/>
      <c r="AE260" s="387"/>
      <c r="AF260" s="369"/>
      <c r="AG260" s="370"/>
      <c r="AH260" s="370"/>
      <c r="AI260" s="371"/>
      <c r="AJ260" s="370"/>
      <c r="AK260" s="370"/>
      <c r="AL260" s="370"/>
      <c r="AM260" s="370"/>
      <c r="AN260" s="369" t="s">
        <v>565</v>
      </c>
      <c r="AO260" s="370"/>
      <c r="AP260" s="370"/>
      <c r="AQ260" s="371"/>
      <c r="AR260" s="24"/>
      <c r="AS260" s="65"/>
      <c r="AT260" s="55"/>
      <c r="AU260" s="55"/>
      <c r="AV260" s="56">
        <f t="shared" si="18"/>
        <v>0</v>
      </c>
      <c r="AW260" s="32"/>
      <c r="AX260" s="28">
        <v>424</v>
      </c>
      <c r="AY260" s="29">
        <f t="shared" si="19"/>
        <v>424</v>
      </c>
      <c r="AZ260" s="25"/>
      <c r="BA260" s="30"/>
    </row>
    <row r="261" spans="1:53" s="2" customFormat="1" ht="12.75">
      <c r="A261" s="395"/>
      <c r="B261" s="382" t="s">
        <v>557</v>
      </c>
      <c r="C261" s="383"/>
      <c r="D261" s="383"/>
      <c r="E261" s="384"/>
      <c r="F261" s="396" t="s">
        <v>566</v>
      </c>
      <c r="G261" s="385"/>
      <c r="H261" s="385"/>
      <c r="I261" s="385"/>
      <c r="J261" s="385"/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97"/>
      <c r="AF261" s="389"/>
      <c r="AG261" s="390"/>
      <c r="AH261" s="390"/>
      <c r="AI261" s="391"/>
      <c r="AJ261" s="390" t="s">
        <v>567</v>
      </c>
      <c r="AK261" s="390"/>
      <c r="AL261" s="390"/>
      <c r="AM261" s="390"/>
      <c r="AN261" s="389" t="s">
        <v>568</v>
      </c>
      <c r="AO261" s="390"/>
      <c r="AP261" s="390"/>
      <c r="AQ261" s="391"/>
      <c r="AR261" s="43"/>
      <c r="AS261" s="64">
        <f>SUM(AS255:AS260)</f>
        <v>0</v>
      </c>
      <c r="AT261" s="57">
        <f>SUM(AT255:AT260)</f>
        <v>261200</v>
      </c>
      <c r="AU261" s="57">
        <f>SUM(AU255:AU260)</f>
        <v>0</v>
      </c>
      <c r="AV261" s="57">
        <f>SUM(AV255:AV260)</f>
        <v>261200</v>
      </c>
      <c r="AW261" s="33">
        <f>AV261-AT261</f>
        <v>0</v>
      </c>
      <c r="AX261" s="34">
        <f>SUM(AX255:AX260)</f>
        <v>268574.73</v>
      </c>
      <c r="AY261" s="35">
        <f>SUM(AY255:AY260)</f>
        <v>7374.73</v>
      </c>
      <c r="AZ261" s="44"/>
      <c r="BA261" s="36">
        <f>SUM(BA255:BA260)</f>
        <v>0</v>
      </c>
    </row>
    <row r="262" spans="1:53" ht="12.75" hidden="1">
      <c r="A262" s="395"/>
      <c r="B262" s="376" t="s">
        <v>103</v>
      </c>
      <c r="C262" s="377"/>
      <c r="D262" s="377"/>
      <c r="E262" s="378"/>
      <c r="F262" s="379" t="s">
        <v>235</v>
      </c>
      <c r="G262" s="380"/>
      <c r="H262" s="380"/>
      <c r="I262" s="380"/>
      <c r="J262" s="374" t="s">
        <v>236</v>
      </c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  <c r="X262" s="374"/>
      <c r="Y262" s="374"/>
      <c r="Z262" s="374"/>
      <c r="AA262" s="374"/>
      <c r="AB262" s="374"/>
      <c r="AC262" s="374"/>
      <c r="AD262" s="374"/>
      <c r="AE262" s="387"/>
      <c r="AF262" s="369" t="s">
        <v>569</v>
      </c>
      <c r="AG262" s="370"/>
      <c r="AH262" s="370"/>
      <c r="AI262" s="371"/>
      <c r="AJ262" s="370" t="s">
        <v>570</v>
      </c>
      <c r="AK262" s="370"/>
      <c r="AL262" s="370"/>
      <c r="AM262" s="370"/>
      <c r="AN262" s="369" t="s">
        <v>571</v>
      </c>
      <c r="AO262" s="370"/>
      <c r="AP262" s="370"/>
      <c r="AQ262" s="371"/>
      <c r="AR262" s="24"/>
      <c r="AS262" s="65">
        <v>20866000</v>
      </c>
      <c r="AT262" s="55">
        <f>21536100+11/11*(559000+20000)</f>
        <v>22115100</v>
      </c>
      <c r="AU262" s="55">
        <v>-1115100</v>
      </c>
      <c r="AV262" s="56">
        <f aca="true" t="shared" si="20" ref="AV262:AV306">AT262+AU262</f>
        <v>21000000</v>
      </c>
      <c r="AW262" s="32"/>
      <c r="AX262" s="28">
        <v>17216691</v>
      </c>
      <c r="AY262" s="29">
        <f aca="true" t="shared" si="21" ref="AY262:AY306">AX262-AV262</f>
        <v>-3783309</v>
      </c>
      <c r="AZ262" s="25"/>
      <c r="BA262" s="30">
        <f>20866000+790000</f>
        <v>21656000</v>
      </c>
    </row>
    <row r="263" spans="1:53" ht="12.75" hidden="1">
      <c r="A263" s="395"/>
      <c r="B263" s="376" t="s">
        <v>103</v>
      </c>
      <c r="C263" s="377"/>
      <c r="D263" s="377"/>
      <c r="E263" s="378"/>
      <c r="F263" s="379" t="s">
        <v>239</v>
      </c>
      <c r="G263" s="380"/>
      <c r="H263" s="380"/>
      <c r="I263" s="380"/>
      <c r="J263" s="374" t="s">
        <v>240</v>
      </c>
      <c r="K263" s="374"/>
      <c r="L263" s="374"/>
      <c r="M263" s="374"/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  <c r="X263" s="374"/>
      <c r="Y263" s="374"/>
      <c r="Z263" s="374"/>
      <c r="AA263" s="374"/>
      <c r="AB263" s="374"/>
      <c r="AC263" s="374"/>
      <c r="AD263" s="374"/>
      <c r="AE263" s="387"/>
      <c r="AF263" s="369" t="s">
        <v>572</v>
      </c>
      <c r="AG263" s="370"/>
      <c r="AH263" s="370"/>
      <c r="AI263" s="371"/>
      <c r="AJ263" s="370" t="s">
        <v>573</v>
      </c>
      <c r="AK263" s="370"/>
      <c r="AL263" s="370"/>
      <c r="AM263" s="370"/>
      <c r="AN263" s="369" t="s">
        <v>574</v>
      </c>
      <c r="AO263" s="370"/>
      <c r="AP263" s="370"/>
      <c r="AQ263" s="371"/>
      <c r="AR263" s="24"/>
      <c r="AS263" s="65">
        <v>120000</v>
      </c>
      <c r="AT263" s="55">
        <v>190000</v>
      </c>
      <c r="AU263" s="55"/>
      <c r="AV263" s="56">
        <f t="shared" si="20"/>
        <v>190000</v>
      </c>
      <c r="AW263" s="32"/>
      <c r="AX263" s="28">
        <v>193946</v>
      </c>
      <c r="AY263" s="29">
        <f t="shared" si="21"/>
        <v>3946</v>
      </c>
      <c r="AZ263" s="25"/>
      <c r="BA263" s="30">
        <f>120000+(30000+30000)</f>
        <v>180000</v>
      </c>
    </row>
    <row r="264" spans="1:53" ht="12.75" hidden="1">
      <c r="A264" s="395"/>
      <c r="B264" s="376" t="s">
        <v>103</v>
      </c>
      <c r="C264" s="377"/>
      <c r="D264" s="377"/>
      <c r="E264" s="378"/>
      <c r="F264" s="379" t="s">
        <v>242</v>
      </c>
      <c r="G264" s="380"/>
      <c r="H264" s="380"/>
      <c r="I264" s="380"/>
      <c r="J264" s="374" t="s">
        <v>243</v>
      </c>
      <c r="K264" s="374"/>
      <c r="L264" s="374"/>
      <c r="M264" s="374"/>
      <c r="N264" s="374"/>
      <c r="O264" s="374"/>
      <c r="P264" s="374"/>
      <c r="Q264" s="374"/>
      <c r="R264" s="374"/>
      <c r="S264" s="374"/>
      <c r="T264" s="374"/>
      <c r="U264" s="374"/>
      <c r="V264" s="374"/>
      <c r="W264" s="374"/>
      <c r="X264" s="374"/>
      <c r="Y264" s="374"/>
      <c r="Z264" s="374"/>
      <c r="AA264" s="374"/>
      <c r="AB264" s="374"/>
      <c r="AC264" s="374"/>
      <c r="AD264" s="374"/>
      <c r="AE264" s="387"/>
      <c r="AF264" s="369" t="s">
        <v>575</v>
      </c>
      <c r="AG264" s="370"/>
      <c r="AH264" s="370"/>
      <c r="AI264" s="371"/>
      <c r="AJ264" s="370" t="s">
        <v>576</v>
      </c>
      <c r="AK264" s="370"/>
      <c r="AL264" s="370"/>
      <c r="AM264" s="370"/>
      <c r="AN264" s="369" t="s">
        <v>577</v>
      </c>
      <c r="AO264" s="370"/>
      <c r="AP264" s="370"/>
      <c r="AQ264" s="371"/>
      <c r="AR264" s="24"/>
      <c r="AS264" s="65">
        <v>5448000</v>
      </c>
      <c r="AT264" s="55">
        <f>5514000+11/11*(171800+5000)</f>
        <v>5690800</v>
      </c>
      <c r="AU264" s="55">
        <v>-350000</v>
      </c>
      <c r="AV264" s="56">
        <f t="shared" si="20"/>
        <v>5340800</v>
      </c>
      <c r="AW264" s="32"/>
      <c r="AX264" s="28">
        <v>4718341</v>
      </c>
      <c r="AY264" s="29">
        <f t="shared" si="21"/>
        <v>-622459</v>
      </c>
      <c r="AZ264" s="25"/>
      <c r="BA264" s="30">
        <f>5448000+360000</f>
        <v>5808000</v>
      </c>
    </row>
    <row r="265" spans="1:53" ht="12.75" hidden="1">
      <c r="A265" s="395"/>
      <c r="B265" s="376" t="s">
        <v>103</v>
      </c>
      <c r="C265" s="377"/>
      <c r="D265" s="377"/>
      <c r="E265" s="378"/>
      <c r="F265" s="379" t="s">
        <v>246</v>
      </c>
      <c r="G265" s="380"/>
      <c r="H265" s="380"/>
      <c r="I265" s="380"/>
      <c r="J265" s="374" t="s">
        <v>247</v>
      </c>
      <c r="K265" s="374"/>
      <c r="L265" s="374"/>
      <c r="M265" s="374"/>
      <c r="N265" s="374"/>
      <c r="O265" s="374"/>
      <c r="P265" s="374"/>
      <c r="Q265" s="374"/>
      <c r="R265" s="374"/>
      <c r="S265" s="374"/>
      <c r="T265" s="374"/>
      <c r="U265" s="374"/>
      <c r="V265" s="374"/>
      <c r="W265" s="374"/>
      <c r="X265" s="374"/>
      <c r="Y265" s="374"/>
      <c r="Z265" s="374"/>
      <c r="AA265" s="374"/>
      <c r="AB265" s="374"/>
      <c r="AC265" s="374"/>
      <c r="AD265" s="374"/>
      <c r="AE265" s="387"/>
      <c r="AF265" s="369" t="s">
        <v>578</v>
      </c>
      <c r="AG265" s="370"/>
      <c r="AH265" s="370"/>
      <c r="AI265" s="371"/>
      <c r="AJ265" s="370" t="s">
        <v>579</v>
      </c>
      <c r="AK265" s="370"/>
      <c r="AL265" s="370"/>
      <c r="AM265" s="370"/>
      <c r="AN265" s="369" t="s">
        <v>580</v>
      </c>
      <c r="AO265" s="370"/>
      <c r="AP265" s="370"/>
      <c r="AQ265" s="371"/>
      <c r="AR265" s="24"/>
      <c r="AS265" s="65">
        <v>2157000</v>
      </c>
      <c r="AT265" s="55">
        <f>2286500+11/11*(50000+1800)</f>
        <v>2338300</v>
      </c>
      <c r="AU265" s="55">
        <v>-348300</v>
      </c>
      <c r="AV265" s="56">
        <f t="shared" si="20"/>
        <v>1990000</v>
      </c>
      <c r="AW265" s="32"/>
      <c r="AX265" s="28">
        <v>1732857</v>
      </c>
      <c r="AY265" s="29">
        <f t="shared" si="21"/>
        <v>-257143</v>
      </c>
      <c r="AZ265" s="25"/>
      <c r="BA265" s="30">
        <f>2157000-7000</f>
        <v>2150000</v>
      </c>
    </row>
    <row r="266" spans="1:53" ht="12.75" hidden="1">
      <c r="A266" s="395"/>
      <c r="B266" s="376" t="s">
        <v>103</v>
      </c>
      <c r="C266" s="377"/>
      <c r="D266" s="377"/>
      <c r="E266" s="378"/>
      <c r="F266" s="379" t="s">
        <v>250</v>
      </c>
      <c r="G266" s="380"/>
      <c r="H266" s="380"/>
      <c r="I266" s="380"/>
      <c r="J266" s="374" t="s">
        <v>251</v>
      </c>
      <c r="K266" s="374"/>
      <c r="L266" s="374"/>
      <c r="M266" s="374"/>
      <c r="N266" s="374"/>
      <c r="O266" s="374"/>
      <c r="P266" s="374"/>
      <c r="Q266" s="374"/>
      <c r="R266" s="374"/>
      <c r="S266" s="374"/>
      <c r="T266" s="374"/>
      <c r="U266" s="374"/>
      <c r="V266" s="374"/>
      <c r="W266" s="374"/>
      <c r="X266" s="374"/>
      <c r="Y266" s="374"/>
      <c r="Z266" s="374"/>
      <c r="AA266" s="374"/>
      <c r="AB266" s="374"/>
      <c r="AC266" s="374"/>
      <c r="AD266" s="374"/>
      <c r="AE266" s="387"/>
      <c r="AF266" s="369" t="s">
        <v>544</v>
      </c>
      <c r="AG266" s="370"/>
      <c r="AH266" s="370"/>
      <c r="AI266" s="371"/>
      <c r="AJ266" s="370" t="s">
        <v>544</v>
      </c>
      <c r="AK266" s="370"/>
      <c r="AL266" s="370"/>
      <c r="AM266" s="370"/>
      <c r="AN266" s="369" t="s">
        <v>581</v>
      </c>
      <c r="AO266" s="370"/>
      <c r="AP266" s="370"/>
      <c r="AQ266" s="371"/>
      <c r="AR266" s="24"/>
      <c r="AS266" s="65">
        <v>108000</v>
      </c>
      <c r="AT266" s="55">
        <v>108000</v>
      </c>
      <c r="AU266" s="55"/>
      <c r="AV266" s="56">
        <f t="shared" si="20"/>
        <v>108000</v>
      </c>
      <c r="AW266" s="32"/>
      <c r="AX266" s="28">
        <v>102188</v>
      </c>
      <c r="AY266" s="29">
        <f t="shared" si="21"/>
        <v>-5812</v>
      </c>
      <c r="AZ266" s="25"/>
      <c r="BA266" s="30">
        <v>108000</v>
      </c>
    </row>
    <row r="267" spans="1:53" ht="12.75" hidden="1">
      <c r="A267" s="395"/>
      <c r="B267" s="376" t="s">
        <v>103</v>
      </c>
      <c r="C267" s="377"/>
      <c r="D267" s="377"/>
      <c r="E267" s="378"/>
      <c r="F267" s="379" t="s">
        <v>254</v>
      </c>
      <c r="G267" s="380"/>
      <c r="H267" s="380"/>
      <c r="I267" s="380"/>
      <c r="J267" s="374" t="s">
        <v>255</v>
      </c>
      <c r="K267" s="374"/>
      <c r="L267" s="374"/>
      <c r="M267" s="374"/>
      <c r="N267" s="374"/>
      <c r="O267" s="374"/>
      <c r="P267" s="374"/>
      <c r="Q267" s="374"/>
      <c r="R267" s="374"/>
      <c r="S267" s="374"/>
      <c r="T267" s="374"/>
      <c r="U267" s="374"/>
      <c r="V267" s="374"/>
      <c r="W267" s="374"/>
      <c r="X267" s="374"/>
      <c r="Y267" s="374"/>
      <c r="Z267" s="374"/>
      <c r="AA267" s="374"/>
      <c r="AB267" s="374"/>
      <c r="AC267" s="374"/>
      <c r="AD267" s="374"/>
      <c r="AE267" s="387"/>
      <c r="AF267" s="369" t="s">
        <v>282</v>
      </c>
      <c r="AG267" s="370"/>
      <c r="AH267" s="370"/>
      <c r="AI267" s="371"/>
      <c r="AJ267" s="370" t="s">
        <v>282</v>
      </c>
      <c r="AK267" s="370"/>
      <c r="AL267" s="370"/>
      <c r="AM267" s="370"/>
      <c r="AN267" s="369" t="s">
        <v>582</v>
      </c>
      <c r="AO267" s="370"/>
      <c r="AP267" s="370"/>
      <c r="AQ267" s="371"/>
      <c r="AR267" s="24"/>
      <c r="AS267" s="65">
        <v>30000</v>
      </c>
      <c r="AT267" s="55">
        <f>30000+11/11*2200</f>
        <v>32200</v>
      </c>
      <c r="AU267" s="55"/>
      <c r="AV267" s="56">
        <f t="shared" si="20"/>
        <v>32200</v>
      </c>
      <c r="AW267" s="32"/>
      <c r="AX267" s="28">
        <v>23220</v>
      </c>
      <c r="AY267" s="29">
        <f t="shared" si="21"/>
        <v>-8980</v>
      </c>
      <c r="AZ267" s="25"/>
      <c r="BA267" s="30">
        <f>30000*0+25000</f>
        <v>25000</v>
      </c>
    </row>
    <row r="268" spans="1:53" ht="12.75" hidden="1">
      <c r="A268" s="395"/>
      <c r="B268" s="376" t="s">
        <v>103</v>
      </c>
      <c r="C268" s="377"/>
      <c r="D268" s="377"/>
      <c r="E268" s="378"/>
      <c r="F268" s="379" t="s">
        <v>257</v>
      </c>
      <c r="G268" s="380"/>
      <c r="H268" s="380"/>
      <c r="I268" s="380"/>
      <c r="J268" s="374" t="s">
        <v>258</v>
      </c>
      <c r="K268" s="374"/>
      <c r="L268" s="374"/>
      <c r="M268" s="374"/>
      <c r="N268" s="374"/>
      <c r="O268" s="374"/>
      <c r="P268" s="374"/>
      <c r="Q268" s="374"/>
      <c r="R268" s="374"/>
      <c r="S268" s="374"/>
      <c r="T268" s="374"/>
      <c r="U268" s="374"/>
      <c r="V268" s="374"/>
      <c r="W268" s="374"/>
      <c r="X268" s="374"/>
      <c r="Y268" s="374"/>
      <c r="Z268" s="374"/>
      <c r="AA268" s="374"/>
      <c r="AB268" s="374"/>
      <c r="AC268" s="374"/>
      <c r="AD268" s="374"/>
      <c r="AE268" s="387"/>
      <c r="AF268" s="369" t="s">
        <v>583</v>
      </c>
      <c r="AG268" s="370"/>
      <c r="AH268" s="370"/>
      <c r="AI268" s="371"/>
      <c r="AJ268" s="370" t="s">
        <v>584</v>
      </c>
      <c r="AK268" s="370"/>
      <c r="AL268" s="370"/>
      <c r="AM268" s="370"/>
      <c r="AN268" s="369" t="s">
        <v>585</v>
      </c>
      <c r="AO268" s="370"/>
      <c r="AP268" s="370"/>
      <c r="AQ268" s="371"/>
      <c r="AR268" s="24"/>
      <c r="AS268" s="65">
        <v>506000</v>
      </c>
      <c r="AT268" s="55">
        <v>569000</v>
      </c>
      <c r="AU268" s="55">
        <v>-59000</v>
      </c>
      <c r="AV268" s="56">
        <f t="shared" si="20"/>
        <v>510000</v>
      </c>
      <c r="AW268" s="32"/>
      <c r="AX268" s="28">
        <v>487688.35</v>
      </c>
      <c r="AY268" s="29">
        <f t="shared" si="21"/>
        <v>-22311.650000000023</v>
      </c>
      <c r="AZ268" s="25"/>
      <c r="BA268" s="30">
        <f>506000*0+500000</f>
        <v>500000</v>
      </c>
    </row>
    <row r="269" spans="1:53" ht="12.75" hidden="1">
      <c r="A269" s="395"/>
      <c r="B269" s="376" t="s">
        <v>103</v>
      </c>
      <c r="C269" s="377"/>
      <c r="D269" s="377"/>
      <c r="E269" s="378"/>
      <c r="F269" s="379" t="s">
        <v>259</v>
      </c>
      <c r="G269" s="380"/>
      <c r="H269" s="380"/>
      <c r="I269" s="380"/>
      <c r="J269" s="374" t="s">
        <v>260</v>
      </c>
      <c r="K269" s="374"/>
      <c r="L269" s="374"/>
      <c r="M269" s="374"/>
      <c r="N269" s="374"/>
      <c r="O269" s="374"/>
      <c r="P269" s="374"/>
      <c r="Q269" s="374"/>
      <c r="R269" s="374"/>
      <c r="S269" s="374"/>
      <c r="T269" s="374"/>
      <c r="U269" s="374"/>
      <c r="V269" s="374"/>
      <c r="W269" s="374"/>
      <c r="X269" s="374"/>
      <c r="Y269" s="374"/>
      <c r="Z269" s="374"/>
      <c r="AA269" s="374"/>
      <c r="AB269" s="374"/>
      <c r="AC269" s="374"/>
      <c r="AD269" s="374"/>
      <c r="AE269" s="387"/>
      <c r="AF269" s="369" t="s">
        <v>586</v>
      </c>
      <c r="AG269" s="370"/>
      <c r="AH269" s="370"/>
      <c r="AI269" s="371"/>
      <c r="AJ269" s="370" t="s">
        <v>587</v>
      </c>
      <c r="AK269" s="370"/>
      <c r="AL269" s="370"/>
      <c r="AM269" s="370"/>
      <c r="AN269" s="369" t="s">
        <v>588</v>
      </c>
      <c r="AO269" s="370"/>
      <c r="AP269" s="370"/>
      <c r="AQ269" s="371"/>
      <c r="AR269" s="24"/>
      <c r="AS269" s="65">
        <v>708000</v>
      </c>
      <c r="AT269" s="55">
        <v>819000</v>
      </c>
      <c r="AU269" s="55"/>
      <c r="AV269" s="56">
        <f t="shared" si="20"/>
        <v>819000</v>
      </c>
      <c r="AW269" s="32"/>
      <c r="AX269" s="28">
        <v>781553.48</v>
      </c>
      <c r="AY269" s="29">
        <f t="shared" si="21"/>
        <v>-37446.52000000002</v>
      </c>
      <c r="AZ269" s="25"/>
      <c r="BA269" s="30">
        <f>708000+52000</f>
        <v>760000</v>
      </c>
    </row>
    <row r="270" spans="1:53" ht="12.75" hidden="1">
      <c r="A270" s="395"/>
      <c r="B270" s="376" t="s">
        <v>103</v>
      </c>
      <c r="C270" s="377"/>
      <c r="D270" s="377"/>
      <c r="E270" s="378"/>
      <c r="F270" s="379" t="s">
        <v>205</v>
      </c>
      <c r="G270" s="380"/>
      <c r="H270" s="380"/>
      <c r="I270" s="380"/>
      <c r="J270" s="374" t="s">
        <v>206</v>
      </c>
      <c r="K270" s="374"/>
      <c r="L270" s="374"/>
      <c r="M270" s="374"/>
      <c r="N270" s="374"/>
      <c r="O270" s="374"/>
      <c r="P270" s="374"/>
      <c r="Q270" s="374"/>
      <c r="R270" s="374"/>
      <c r="S270" s="374"/>
      <c r="T270" s="374"/>
      <c r="U270" s="374"/>
      <c r="V270" s="374"/>
      <c r="W270" s="374"/>
      <c r="X270" s="374"/>
      <c r="Y270" s="374"/>
      <c r="Z270" s="374"/>
      <c r="AA270" s="374"/>
      <c r="AB270" s="374"/>
      <c r="AC270" s="374"/>
      <c r="AD270" s="374"/>
      <c r="AE270" s="387"/>
      <c r="AF270" s="369" t="s">
        <v>315</v>
      </c>
      <c r="AG270" s="370"/>
      <c r="AH270" s="370"/>
      <c r="AI270" s="371"/>
      <c r="AJ270" s="370" t="s">
        <v>315</v>
      </c>
      <c r="AK270" s="370"/>
      <c r="AL270" s="370"/>
      <c r="AM270" s="370"/>
      <c r="AN270" s="369" t="s">
        <v>589</v>
      </c>
      <c r="AO270" s="370"/>
      <c r="AP270" s="370"/>
      <c r="AQ270" s="371"/>
      <c r="AR270" s="24"/>
      <c r="AS270" s="65">
        <v>55000</v>
      </c>
      <c r="AT270" s="55">
        <v>55000</v>
      </c>
      <c r="AU270" s="55">
        <v>0</v>
      </c>
      <c r="AV270" s="56">
        <f t="shared" si="20"/>
        <v>55000</v>
      </c>
      <c r="AW270" s="32"/>
      <c r="AX270" s="28">
        <v>93193</v>
      </c>
      <c r="AY270" s="29">
        <f t="shared" si="21"/>
        <v>38193</v>
      </c>
      <c r="AZ270" s="25"/>
      <c r="BA270" s="30">
        <v>55000</v>
      </c>
    </row>
    <row r="271" spans="1:53" ht="12.75" hidden="1">
      <c r="A271" s="395"/>
      <c r="B271" s="376" t="s">
        <v>103</v>
      </c>
      <c r="C271" s="377"/>
      <c r="D271" s="377"/>
      <c r="E271" s="378"/>
      <c r="F271" s="379" t="s">
        <v>208</v>
      </c>
      <c r="G271" s="380"/>
      <c r="H271" s="380"/>
      <c r="I271" s="380"/>
      <c r="J271" s="374" t="s">
        <v>209</v>
      </c>
      <c r="K271" s="374"/>
      <c r="L271" s="374"/>
      <c r="M271" s="374"/>
      <c r="N271" s="374"/>
      <c r="O271" s="374"/>
      <c r="P271" s="374"/>
      <c r="Q271" s="374"/>
      <c r="R271" s="374"/>
      <c r="S271" s="374"/>
      <c r="T271" s="374"/>
      <c r="U271" s="374"/>
      <c r="V271" s="374"/>
      <c r="W271" s="374"/>
      <c r="X271" s="374"/>
      <c r="Y271" s="374"/>
      <c r="Z271" s="374"/>
      <c r="AA271" s="374"/>
      <c r="AB271" s="374"/>
      <c r="AC271" s="374"/>
      <c r="AD271" s="374"/>
      <c r="AE271" s="387"/>
      <c r="AF271" s="369" t="s">
        <v>590</v>
      </c>
      <c r="AG271" s="370"/>
      <c r="AH271" s="370"/>
      <c r="AI271" s="371"/>
      <c r="AJ271" s="370" t="s">
        <v>590</v>
      </c>
      <c r="AK271" s="370"/>
      <c r="AL271" s="370"/>
      <c r="AM271" s="370"/>
      <c r="AN271" s="369" t="s">
        <v>591</v>
      </c>
      <c r="AO271" s="370"/>
      <c r="AP271" s="370"/>
      <c r="AQ271" s="371"/>
      <c r="AR271" s="24"/>
      <c r="AS271" s="65">
        <v>594000</v>
      </c>
      <c r="AT271" s="55">
        <v>594000</v>
      </c>
      <c r="AU271" s="55">
        <v>0</v>
      </c>
      <c r="AV271" s="56">
        <f t="shared" si="20"/>
        <v>594000</v>
      </c>
      <c r="AW271" s="32"/>
      <c r="AX271" s="28">
        <v>603777.38</v>
      </c>
      <c r="AY271" s="29">
        <f t="shared" si="21"/>
        <v>9777.380000000005</v>
      </c>
      <c r="AZ271" s="25"/>
      <c r="BA271" s="30">
        <f>594000*0+600000</f>
        <v>600000</v>
      </c>
    </row>
    <row r="272" spans="1:53" ht="12.75" hidden="1">
      <c r="A272" s="395"/>
      <c r="B272" s="376" t="s">
        <v>103</v>
      </c>
      <c r="C272" s="377"/>
      <c r="D272" s="377"/>
      <c r="E272" s="378"/>
      <c r="F272" s="379" t="s">
        <v>159</v>
      </c>
      <c r="G272" s="380"/>
      <c r="H272" s="380"/>
      <c r="I272" s="380"/>
      <c r="J272" s="374" t="s">
        <v>160</v>
      </c>
      <c r="K272" s="374"/>
      <c r="L272" s="374"/>
      <c r="M272" s="374"/>
      <c r="N272" s="374"/>
      <c r="O272" s="374"/>
      <c r="P272" s="374"/>
      <c r="Q272" s="374"/>
      <c r="R272" s="374"/>
      <c r="S272" s="374"/>
      <c r="T272" s="374"/>
      <c r="U272" s="374"/>
      <c r="V272" s="374"/>
      <c r="W272" s="374"/>
      <c r="X272" s="374"/>
      <c r="Y272" s="374"/>
      <c r="Z272" s="374"/>
      <c r="AA272" s="374"/>
      <c r="AB272" s="374"/>
      <c r="AC272" s="374"/>
      <c r="AD272" s="374"/>
      <c r="AE272" s="387"/>
      <c r="AF272" s="369" t="s">
        <v>592</v>
      </c>
      <c r="AG272" s="370"/>
      <c r="AH272" s="370"/>
      <c r="AI272" s="371"/>
      <c r="AJ272" s="370" t="s">
        <v>592</v>
      </c>
      <c r="AK272" s="370"/>
      <c r="AL272" s="370"/>
      <c r="AM272" s="370"/>
      <c r="AN272" s="369" t="s">
        <v>593</v>
      </c>
      <c r="AO272" s="370"/>
      <c r="AP272" s="370"/>
      <c r="AQ272" s="371"/>
      <c r="AR272" s="24"/>
      <c r="AS272" s="65">
        <v>265000</v>
      </c>
      <c r="AT272" s="55">
        <v>265000</v>
      </c>
      <c r="AU272" s="55">
        <v>0</v>
      </c>
      <c r="AV272" s="56">
        <f t="shared" si="20"/>
        <v>265000</v>
      </c>
      <c r="AW272" s="32"/>
      <c r="AX272" s="28">
        <v>211641</v>
      </c>
      <c r="AY272" s="29">
        <f t="shared" si="21"/>
        <v>-53359</v>
      </c>
      <c r="AZ272" s="25"/>
      <c r="BA272" s="30">
        <f>265000*0+215000</f>
        <v>215000</v>
      </c>
    </row>
    <row r="273" spans="1:53" ht="12.75" hidden="1">
      <c r="A273" s="395"/>
      <c r="B273" s="376" t="s">
        <v>103</v>
      </c>
      <c r="C273" s="377"/>
      <c r="D273" s="377"/>
      <c r="E273" s="378"/>
      <c r="F273" s="379" t="s">
        <v>460</v>
      </c>
      <c r="G273" s="380"/>
      <c r="H273" s="380"/>
      <c r="I273" s="380"/>
      <c r="J273" s="374" t="s">
        <v>461</v>
      </c>
      <c r="K273" s="374"/>
      <c r="L273" s="374"/>
      <c r="M273" s="374"/>
      <c r="N273" s="374"/>
      <c r="O273" s="374"/>
      <c r="P273" s="374"/>
      <c r="Q273" s="374"/>
      <c r="R273" s="374"/>
      <c r="S273" s="374"/>
      <c r="T273" s="374"/>
      <c r="U273" s="374"/>
      <c r="V273" s="374"/>
      <c r="W273" s="374"/>
      <c r="X273" s="374"/>
      <c r="Y273" s="374"/>
      <c r="Z273" s="374"/>
      <c r="AA273" s="374"/>
      <c r="AB273" s="374"/>
      <c r="AC273" s="374"/>
      <c r="AD273" s="374"/>
      <c r="AE273" s="387"/>
      <c r="AF273" s="369" t="s">
        <v>594</v>
      </c>
      <c r="AG273" s="370"/>
      <c r="AH273" s="370"/>
      <c r="AI273" s="371"/>
      <c r="AJ273" s="370" t="s">
        <v>595</v>
      </c>
      <c r="AK273" s="370"/>
      <c r="AL273" s="370"/>
      <c r="AM273" s="370"/>
      <c r="AN273" s="369" t="s">
        <v>596</v>
      </c>
      <c r="AO273" s="370"/>
      <c r="AP273" s="370"/>
      <c r="AQ273" s="371"/>
      <c r="AR273" s="24"/>
      <c r="AS273" s="65">
        <v>93000</v>
      </c>
      <c r="AT273" s="55">
        <v>105000</v>
      </c>
      <c r="AU273" s="55"/>
      <c r="AV273" s="56">
        <f t="shared" si="20"/>
        <v>105000</v>
      </c>
      <c r="AW273" s="32"/>
      <c r="AX273" s="28">
        <v>86089.43</v>
      </c>
      <c r="AY273" s="29">
        <f t="shared" si="21"/>
        <v>-18910.570000000007</v>
      </c>
      <c r="AZ273" s="25"/>
      <c r="BA273" s="30">
        <f>93000*0+90000</f>
        <v>90000</v>
      </c>
    </row>
    <row r="274" spans="1:53" ht="12.75" hidden="1">
      <c r="A274" s="395"/>
      <c r="B274" s="376" t="s">
        <v>103</v>
      </c>
      <c r="C274" s="377"/>
      <c r="D274" s="377"/>
      <c r="E274" s="378"/>
      <c r="F274" s="379" t="s">
        <v>269</v>
      </c>
      <c r="G274" s="380"/>
      <c r="H274" s="380"/>
      <c r="I274" s="380"/>
      <c r="J274" s="374" t="s">
        <v>270</v>
      </c>
      <c r="K274" s="374"/>
      <c r="L274" s="374"/>
      <c r="M274" s="374"/>
      <c r="N274" s="374"/>
      <c r="O274" s="374"/>
      <c r="P274" s="374"/>
      <c r="Q274" s="374"/>
      <c r="R274" s="374"/>
      <c r="S274" s="374"/>
      <c r="T274" s="374"/>
      <c r="U274" s="374"/>
      <c r="V274" s="374"/>
      <c r="W274" s="374"/>
      <c r="X274" s="374"/>
      <c r="Y274" s="374"/>
      <c r="Z274" s="374"/>
      <c r="AA274" s="374"/>
      <c r="AB274" s="374"/>
      <c r="AC274" s="374"/>
      <c r="AD274" s="374"/>
      <c r="AE274" s="387"/>
      <c r="AF274" s="369" t="s">
        <v>597</v>
      </c>
      <c r="AG274" s="370"/>
      <c r="AH274" s="370"/>
      <c r="AI274" s="371"/>
      <c r="AJ274" s="370" t="s">
        <v>597</v>
      </c>
      <c r="AK274" s="370"/>
      <c r="AL274" s="370"/>
      <c r="AM274" s="370"/>
      <c r="AN274" s="369" t="s">
        <v>598</v>
      </c>
      <c r="AO274" s="370"/>
      <c r="AP274" s="370"/>
      <c r="AQ274" s="371"/>
      <c r="AR274" s="24"/>
      <c r="AS274" s="65">
        <v>342000</v>
      </c>
      <c r="AT274" s="55">
        <v>342000</v>
      </c>
      <c r="AU274" s="55"/>
      <c r="AV274" s="56">
        <f t="shared" si="20"/>
        <v>342000</v>
      </c>
      <c r="AW274" s="32"/>
      <c r="AX274" s="28">
        <v>300106</v>
      </c>
      <c r="AY274" s="29">
        <f t="shared" si="21"/>
        <v>-41894</v>
      </c>
      <c r="AZ274" s="25"/>
      <c r="BA274" s="30">
        <f>342000*0+310000</f>
        <v>310000</v>
      </c>
    </row>
    <row r="275" spans="1:53" ht="12.75" hidden="1">
      <c r="A275" s="395"/>
      <c r="B275" s="376" t="s">
        <v>103</v>
      </c>
      <c r="C275" s="377"/>
      <c r="D275" s="377"/>
      <c r="E275" s="378"/>
      <c r="F275" s="379" t="s">
        <v>272</v>
      </c>
      <c r="G275" s="380"/>
      <c r="H275" s="380"/>
      <c r="I275" s="380"/>
      <c r="J275" s="374" t="s">
        <v>273</v>
      </c>
      <c r="K275" s="374"/>
      <c r="L275" s="374"/>
      <c r="M275" s="374"/>
      <c r="N275" s="374"/>
      <c r="O275" s="374"/>
      <c r="P275" s="374"/>
      <c r="Q275" s="374"/>
      <c r="R275" s="374"/>
      <c r="S275" s="374"/>
      <c r="T275" s="374"/>
      <c r="U275" s="374"/>
      <c r="V275" s="374"/>
      <c r="W275" s="374"/>
      <c r="X275" s="374"/>
      <c r="Y275" s="374"/>
      <c r="Z275" s="374"/>
      <c r="AA275" s="374"/>
      <c r="AB275" s="374"/>
      <c r="AC275" s="374"/>
      <c r="AD275" s="374"/>
      <c r="AE275" s="387"/>
      <c r="AF275" s="369" t="s">
        <v>599</v>
      </c>
      <c r="AG275" s="370"/>
      <c r="AH275" s="370"/>
      <c r="AI275" s="371"/>
      <c r="AJ275" s="370" t="s">
        <v>599</v>
      </c>
      <c r="AK275" s="370"/>
      <c r="AL275" s="370"/>
      <c r="AM275" s="370"/>
      <c r="AN275" s="369" t="s">
        <v>600</v>
      </c>
      <c r="AO275" s="370"/>
      <c r="AP275" s="370"/>
      <c r="AQ275" s="371"/>
      <c r="AR275" s="24"/>
      <c r="AS275" s="65">
        <v>471000</v>
      </c>
      <c r="AT275" s="55">
        <v>471000</v>
      </c>
      <c r="AU275" s="55">
        <v>-51000</v>
      </c>
      <c r="AV275" s="56">
        <f t="shared" si="20"/>
        <v>420000</v>
      </c>
      <c r="AW275" s="32"/>
      <c r="AX275" s="28">
        <v>375810.19</v>
      </c>
      <c r="AY275" s="29">
        <f t="shared" si="21"/>
        <v>-44189.81</v>
      </c>
      <c r="AZ275" s="25"/>
      <c r="BA275" s="30">
        <f>471000-21000-50000</f>
        <v>400000</v>
      </c>
    </row>
    <row r="276" spans="1:53" ht="12.75" hidden="1">
      <c r="A276" s="395"/>
      <c r="B276" s="376" t="s">
        <v>103</v>
      </c>
      <c r="C276" s="377"/>
      <c r="D276" s="377"/>
      <c r="E276" s="378"/>
      <c r="F276" s="379" t="s">
        <v>467</v>
      </c>
      <c r="G276" s="380"/>
      <c r="H276" s="380"/>
      <c r="I276" s="380"/>
      <c r="J276" s="374" t="s">
        <v>468</v>
      </c>
      <c r="K276" s="374"/>
      <c r="L276" s="374"/>
      <c r="M276" s="374"/>
      <c r="N276" s="374"/>
      <c r="O276" s="374"/>
      <c r="P276" s="374"/>
      <c r="Q276" s="374"/>
      <c r="R276" s="374"/>
      <c r="S276" s="374"/>
      <c r="T276" s="374"/>
      <c r="U276" s="374"/>
      <c r="V276" s="374"/>
      <c r="W276" s="374"/>
      <c r="X276" s="374"/>
      <c r="Y276" s="374"/>
      <c r="Z276" s="374"/>
      <c r="AA276" s="374"/>
      <c r="AB276" s="374"/>
      <c r="AC276" s="374"/>
      <c r="AD276" s="374"/>
      <c r="AE276" s="387"/>
      <c r="AF276" s="369" t="s">
        <v>601</v>
      </c>
      <c r="AG276" s="370"/>
      <c r="AH276" s="370"/>
      <c r="AI276" s="371"/>
      <c r="AJ276" s="370" t="s">
        <v>601</v>
      </c>
      <c r="AK276" s="370"/>
      <c r="AL276" s="370"/>
      <c r="AM276" s="370"/>
      <c r="AN276" s="369" t="s">
        <v>602</v>
      </c>
      <c r="AO276" s="370"/>
      <c r="AP276" s="370"/>
      <c r="AQ276" s="371"/>
      <c r="AR276" s="24"/>
      <c r="AS276" s="65">
        <v>483000</v>
      </c>
      <c r="AT276" s="55">
        <v>483000</v>
      </c>
      <c r="AU276" s="55"/>
      <c r="AV276" s="56">
        <f t="shared" si="20"/>
        <v>483000</v>
      </c>
      <c r="AW276" s="32"/>
      <c r="AX276" s="28">
        <v>493326</v>
      </c>
      <c r="AY276" s="29">
        <f t="shared" si="21"/>
        <v>10326</v>
      </c>
      <c r="AZ276" s="25"/>
      <c r="BA276" s="30">
        <v>483000</v>
      </c>
    </row>
    <row r="277" spans="1:53" ht="12.75" hidden="1">
      <c r="A277" s="395"/>
      <c r="B277" s="376" t="s">
        <v>103</v>
      </c>
      <c r="C277" s="377"/>
      <c r="D277" s="377"/>
      <c r="E277" s="378"/>
      <c r="F277" s="379" t="s">
        <v>162</v>
      </c>
      <c r="G277" s="380"/>
      <c r="H277" s="380"/>
      <c r="I277" s="380"/>
      <c r="J277" s="374" t="s">
        <v>163</v>
      </c>
      <c r="K277" s="374"/>
      <c r="L277" s="374"/>
      <c r="M277" s="374"/>
      <c r="N277" s="374"/>
      <c r="O277" s="374"/>
      <c r="P277" s="374"/>
      <c r="Q277" s="374"/>
      <c r="R277" s="374"/>
      <c r="S277" s="374"/>
      <c r="T277" s="374"/>
      <c r="U277" s="374"/>
      <c r="V277" s="374"/>
      <c r="W277" s="374"/>
      <c r="X277" s="374"/>
      <c r="Y277" s="374"/>
      <c r="Z277" s="374"/>
      <c r="AA277" s="374"/>
      <c r="AB277" s="374"/>
      <c r="AC277" s="374"/>
      <c r="AD277" s="374"/>
      <c r="AE277" s="387"/>
      <c r="AF277" s="369" t="s">
        <v>263</v>
      </c>
      <c r="AG277" s="370"/>
      <c r="AH277" s="370"/>
      <c r="AI277" s="371"/>
      <c r="AJ277" s="370" t="s">
        <v>603</v>
      </c>
      <c r="AK277" s="370"/>
      <c r="AL277" s="370"/>
      <c r="AM277" s="370"/>
      <c r="AN277" s="369" t="s">
        <v>604</v>
      </c>
      <c r="AO277" s="370"/>
      <c r="AP277" s="370"/>
      <c r="AQ277" s="371"/>
      <c r="AR277" s="24"/>
      <c r="AS277" s="65">
        <v>4000</v>
      </c>
      <c r="AT277" s="55">
        <v>32000</v>
      </c>
      <c r="AU277" s="55"/>
      <c r="AV277" s="56">
        <f t="shared" si="20"/>
        <v>32000</v>
      </c>
      <c r="AW277" s="32"/>
      <c r="AX277" s="28">
        <v>33025</v>
      </c>
      <c r="AY277" s="29">
        <f t="shared" si="21"/>
        <v>1025</v>
      </c>
      <c r="AZ277" s="25"/>
      <c r="BA277" s="30">
        <v>4000</v>
      </c>
    </row>
    <row r="278" spans="1:53" ht="12.75" hidden="1">
      <c r="A278" s="395"/>
      <c r="B278" s="376" t="s">
        <v>103</v>
      </c>
      <c r="C278" s="377"/>
      <c r="D278" s="377"/>
      <c r="E278" s="378"/>
      <c r="F278" s="379" t="s">
        <v>605</v>
      </c>
      <c r="G278" s="380"/>
      <c r="H278" s="380"/>
      <c r="I278" s="380"/>
      <c r="J278" s="374" t="s">
        <v>606</v>
      </c>
      <c r="K278" s="374"/>
      <c r="L278" s="374"/>
      <c r="M278" s="374"/>
      <c r="N278" s="374"/>
      <c r="O278" s="374"/>
      <c r="P278" s="374"/>
      <c r="Q278" s="374"/>
      <c r="R278" s="374"/>
      <c r="S278" s="374"/>
      <c r="T278" s="374"/>
      <c r="U278" s="374"/>
      <c r="V278" s="374"/>
      <c r="W278" s="374"/>
      <c r="X278" s="374"/>
      <c r="Y278" s="374"/>
      <c r="Z278" s="374"/>
      <c r="AA278" s="374"/>
      <c r="AB278" s="374"/>
      <c r="AC278" s="374"/>
      <c r="AD278" s="374"/>
      <c r="AE278" s="387"/>
      <c r="AF278" s="369" t="s">
        <v>607</v>
      </c>
      <c r="AG278" s="370"/>
      <c r="AH278" s="370"/>
      <c r="AI278" s="371"/>
      <c r="AJ278" s="370" t="s">
        <v>607</v>
      </c>
      <c r="AK278" s="370"/>
      <c r="AL278" s="370"/>
      <c r="AM278" s="370"/>
      <c r="AN278" s="369" t="s">
        <v>608</v>
      </c>
      <c r="AO278" s="370"/>
      <c r="AP278" s="370"/>
      <c r="AQ278" s="371"/>
      <c r="AR278" s="24"/>
      <c r="AS278" s="65">
        <v>554000</v>
      </c>
      <c r="AT278" s="55">
        <v>554000</v>
      </c>
      <c r="AU278" s="55"/>
      <c r="AV278" s="56">
        <f t="shared" si="20"/>
        <v>554000</v>
      </c>
      <c r="AW278" s="32"/>
      <c r="AX278" s="28">
        <v>496950</v>
      </c>
      <c r="AY278" s="29">
        <f t="shared" si="21"/>
        <v>-57050</v>
      </c>
      <c r="AZ278" s="25"/>
      <c r="BA278" s="30">
        <f>554000*0+500000</f>
        <v>500000</v>
      </c>
    </row>
    <row r="279" spans="1:53" ht="12.75" hidden="1">
      <c r="A279" s="395"/>
      <c r="B279" s="376" t="s">
        <v>103</v>
      </c>
      <c r="C279" s="377"/>
      <c r="D279" s="377"/>
      <c r="E279" s="378"/>
      <c r="F279" s="379" t="s">
        <v>276</v>
      </c>
      <c r="G279" s="380"/>
      <c r="H279" s="380"/>
      <c r="I279" s="380"/>
      <c r="J279" s="374" t="s">
        <v>277</v>
      </c>
      <c r="K279" s="374"/>
      <c r="L279" s="374"/>
      <c r="M279" s="374"/>
      <c r="N279" s="374"/>
      <c r="O279" s="374"/>
      <c r="P279" s="374"/>
      <c r="Q279" s="374"/>
      <c r="R279" s="374"/>
      <c r="S279" s="374"/>
      <c r="T279" s="374"/>
      <c r="U279" s="374"/>
      <c r="V279" s="374"/>
      <c r="W279" s="374"/>
      <c r="X279" s="374"/>
      <c r="Y279" s="374"/>
      <c r="Z279" s="374"/>
      <c r="AA279" s="374"/>
      <c r="AB279" s="374"/>
      <c r="AC279" s="374"/>
      <c r="AD279" s="374"/>
      <c r="AE279" s="387"/>
      <c r="AF279" s="369" t="s">
        <v>609</v>
      </c>
      <c r="AG279" s="370"/>
      <c r="AH279" s="370"/>
      <c r="AI279" s="371"/>
      <c r="AJ279" s="370" t="s">
        <v>610</v>
      </c>
      <c r="AK279" s="370"/>
      <c r="AL279" s="370"/>
      <c r="AM279" s="370"/>
      <c r="AN279" s="369" t="s">
        <v>611</v>
      </c>
      <c r="AO279" s="370"/>
      <c r="AP279" s="370"/>
      <c r="AQ279" s="371"/>
      <c r="AR279" s="24"/>
      <c r="AS279" s="65">
        <v>426000</v>
      </c>
      <c r="AT279" s="55">
        <f>522000+11/11*15000</f>
        <v>537000</v>
      </c>
      <c r="AU279" s="55"/>
      <c r="AV279" s="56">
        <f t="shared" si="20"/>
        <v>537000</v>
      </c>
      <c r="AW279" s="32"/>
      <c r="AX279" s="28">
        <v>348341.5</v>
      </c>
      <c r="AY279" s="29">
        <f t="shared" si="21"/>
        <v>-188658.5</v>
      </c>
      <c r="AZ279" s="25"/>
      <c r="BA279" s="30">
        <f>426000*0+450000</f>
        <v>450000</v>
      </c>
    </row>
    <row r="280" spans="1:53" ht="12.75" hidden="1">
      <c r="A280" s="395"/>
      <c r="B280" s="376" t="s">
        <v>103</v>
      </c>
      <c r="C280" s="377"/>
      <c r="D280" s="377"/>
      <c r="E280" s="378"/>
      <c r="F280" s="379" t="s">
        <v>142</v>
      </c>
      <c r="G280" s="380"/>
      <c r="H280" s="380"/>
      <c r="I280" s="380"/>
      <c r="J280" s="374" t="s">
        <v>143</v>
      </c>
      <c r="K280" s="374"/>
      <c r="L280" s="374"/>
      <c r="M280" s="374"/>
      <c r="N280" s="374"/>
      <c r="O280" s="374"/>
      <c r="P280" s="374"/>
      <c r="Q280" s="374"/>
      <c r="R280" s="374"/>
      <c r="S280" s="374"/>
      <c r="T280" s="374"/>
      <c r="U280" s="374"/>
      <c r="V280" s="374"/>
      <c r="W280" s="374"/>
      <c r="X280" s="374"/>
      <c r="Y280" s="374"/>
      <c r="Z280" s="374"/>
      <c r="AA280" s="374"/>
      <c r="AB280" s="374"/>
      <c r="AC280" s="374"/>
      <c r="AD280" s="374"/>
      <c r="AE280" s="387"/>
      <c r="AF280" s="369" t="s">
        <v>612</v>
      </c>
      <c r="AG280" s="370"/>
      <c r="AH280" s="370"/>
      <c r="AI280" s="371"/>
      <c r="AJ280" s="370" t="s">
        <v>613</v>
      </c>
      <c r="AK280" s="370"/>
      <c r="AL280" s="370"/>
      <c r="AM280" s="370"/>
      <c r="AN280" s="369" t="s">
        <v>614</v>
      </c>
      <c r="AO280" s="370"/>
      <c r="AP280" s="370"/>
      <c r="AQ280" s="371"/>
      <c r="AR280" s="24"/>
      <c r="AS280" s="65">
        <v>7242000</v>
      </c>
      <c r="AT280" s="55">
        <v>6678700</v>
      </c>
      <c r="AU280" s="55"/>
      <c r="AV280" s="56">
        <f t="shared" si="20"/>
        <v>6678700</v>
      </c>
      <c r="AW280" s="32"/>
      <c r="AX280" s="28">
        <v>4255957.83</v>
      </c>
      <c r="AY280" s="29">
        <f t="shared" si="21"/>
        <v>-2422742.17</v>
      </c>
      <c r="AZ280" s="25"/>
      <c r="BA280" s="30">
        <f>7242000+339000</f>
        <v>7581000</v>
      </c>
    </row>
    <row r="281" spans="1:53" ht="12.75" hidden="1">
      <c r="A281" s="395"/>
      <c r="B281" s="376" t="s">
        <v>103</v>
      </c>
      <c r="C281" s="377"/>
      <c r="D281" s="377"/>
      <c r="E281" s="378"/>
      <c r="F281" s="379" t="s">
        <v>146</v>
      </c>
      <c r="G281" s="380"/>
      <c r="H281" s="380"/>
      <c r="I281" s="380"/>
      <c r="J281" s="374" t="s">
        <v>147</v>
      </c>
      <c r="K281" s="374"/>
      <c r="L281" s="374"/>
      <c r="M281" s="374"/>
      <c r="N281" s="374"/>
      <c r="O281" s="374"/>
      <c r="P281" s="374"/>
      <c r="Q281" s="374"/>
      <c r="R281" s="374"/>
      <c r="S281" s="374"/>
      <c r="T281" s="374"/>
      <c r="U281" s="374"/>
      <c r="V281" s="374"/>
      <c r="W281" s="374"/>
      <c r="X281" s="374"/>
      <c r="Y281" s="374"/>
      <c r="Z281" s="374"/>
      <c r="AA281" s="374"/>
      <c r="AB281" s="374"/>
      <c r="AC281" s="374"/>
      <c r="AD281" s="374"/>
      <c r="AE281" s="387"/>
      <c r="AF281" s="369" t="s">
        <v>615</v>
      </c>
      <c r="AG281" s="370"/>
      <c r="AH281" s="370"/>
      <c r="AI281" s="371"/>
      <c r="AJ281" s="370" t="s">
        <v>615</v>
      </c>
      <c r="AK281" s="370"/>
      <c r="AL281" s="370"/>
      <c r="AM281" s="370"/>
      <c r="AN281" s="369" t="s">
        <v>616</v>
      </c>
      <c r="AO281" s="370"/>
      <c r="AP281" s="370"/>
      <c r="AQ281" s="371"/>
      <c r="AR281" s="24"/>
      <c r="AS281" s="65">
        <v>505000</v>
      </c>
      <c r="AT281" s="55">
        <v>505000</v>
      </c>
      <c r="AU281" s="55">
        <f>-250000+250000*0</f>
        <v>-250000</v>
      </c>
      <c r="AV281" s="56">
        <f t="shared" si="20"/>
        <v>255000</v>
      </c>
      <c r="AW281" s="32"/>
      <c r="AX281" s="28">
        <v>186419.1</v>
      </c>
      <c r="AY281" s="29">
        <f t="shared" si="21"/>
        <v>-68580.9</v>
      </c>
      <c r="AZ281" s="25"/>
      <c r="BA281" s="30">
        <f>505000-155000</f>
        <v>350000</v>
      </c>
    </row>
    <row r="282" spans="1:53" ht="12.75" hidden="1">
      <c r="A282" s="395"/>
      <c r="B282" s="376" t="s">
        <v>103</v>
      </c>
      <c r="C282" s="377"/>
      <c r="D282" s="377"/>
      <c r="E282" s="378"/>
      <c r="F282" s="379" t="s">
        <v>617</v>
      </c>
      <c r="G282" s="380"/>
      <c r="H282" s="380"/>
      <c r="I282" s="380"/>
      <c r="J282" s="374" t="s">
        <v>618</v>
      </c>
      <c r="K282" s="374"/>
      <c r="L282" s="374"/>
      <c r="M282" s="374"/>
      <c r="N282" s="374"/>
      <c r="O282" s="374"/>
      <c r="P282" s="374"/>
      <c r="Q282" s="374"/>
      <c r="R282" s="374"/>
      <c r="S282" s="374"/>
      <c r="T282" s="374"/>
      <c r="U282" s="374"/>
      <c r="V282" s="374"/>
      <c r="W282" s="374"/>
      <c r="X282" s="374"/>
      <c r="Y282" s="374"/>
      <c r="Z282" s="374"/>
      <c r="AA282" s="374"/>
      <c r="AB282" s="374"/>
      <c r="AC282" s="374"/>
      <c r="AD282" s="374"/>
      <c r="AE282" s="387"/>
      <c r="AF282" s="369" t="s">
        <v>619</v>
      </c>
      <c r="AG282" s="370"/>
      <c r="AH282" s="370"/>
      <c r="AI282" s="371"/>
      <c r="AJ282" s="370" t="s">
        <v>619</v>
      </c>
      <c r="AK282" s="370"/>
      <c r="AL282" s="370"/>
      <c r="AM282" s="370"/>
      <c r="AN282" s="369"/>
      <c r="AO282" s="370"/>
      <c r="AP282" s="370"/>
      <c r="AQ282" s="371"/>
      <c r="AR282" s="24"/>
      <c r="AS282" s="65">
        <v>115000</v>
      </c>
      <c r="AT282" s="55">
        <v>115000</v>
      </c>
      <c r="AU282" s="55">
        <v>0</v>
      </c>
      <c r="AV282" s="56">
        <f t="shared" si="20"/>
        <v>115000</v>
      </c>
      <c r="AW282" s="32"/>
      <c r="AX282" s="28"/>
      <c r="AY282" s="29">
        <f t="shared" si="21"/>
        <v>-115000</v>
      </c>
      <c r="AZ282" s="25"/>
      <c r="BA282" s="30">
        <v>115000</v>
      </c>
    </row>
    <row r="283" spans="1:53" ht="12.75" hidden="1">
      <c r="A283" s="395"/>
      <c r="B283" s="376" t="s">
        <v>103</v>
      </c>
      <c r="C283" s="377"/>
      <c r="D283" s="377"/>
      <c r="E283" s="378"/>
      <c r="F283" s="379" t="s">
        <v>477</v>
      </c>
      <c r="G283" s="380"/>
      <c r="H283" s="380"/>
      <c r="I283" s="380"/>
      <c r="J283" s="374" t="s">
        <v>478</v>
      </c>
      <c r="K283" s="374"/>
      <c r="L283" s="374"/>
      <c r="M283" s="374"/>
      <c r="N283" s="374"/>
      <c r="O283" s="374"/>
      <c r="P283" s="374"/>
      <c r="Q283" s="374"/>
      <c r="R283" s="374"/>
      <c r="S283" s="374"/>
      <c r="T283" s="374"/>
      <c r="U283" s="374"/>
      <c r="V283" s="374"/>
      <c r="W283" s="374"/>
      <c r="X283" s="374"/>
      <c r="Y283" s="374"/>
      <c r="Z283" s="374"/>
      <c r="AA283" s="374"/>
      <c r="AB283" s="374"/>
      <c r="AC283" s="374"/>
      <c r="AD283" s="374"/>
      <c r="AE283" s="387"/>
      <c r="AF283" s="369" t="s">
        <v>319</v>
      </c>
      <c r="AG283" s="370"/>
      <c r="AH283" s="370"/>
      <c r="AI283" s="371"/>
      <c r="AJ283" s="370" t="s">
        <v>465</v>
      </c>
      <c r="AK283" s="370"/>
      <c r="AL283" s="370"/>
      <c r="AM283" s="370"/>
      <c r="AN283" s="369" t="s">
        <v>620</v>
      </c>
      <c r="AO283" s="370"/>
      <c r="AP283" s="370"/>
      <c r="AQ283" s="371"/>
      <c r="AR283" s="24"/>
      <c r="AS283" s="65">
        <v>56000</v>
      </c>
      <c r="AT283" s="55">
        <f>64000+11/11*19200</f>
        <v>83200</v>
      </c>
      <c r="AU283" s="55">
        <v>-8200</v>
      </c>
      <c r="AV283" s="56">
        <f t="shared" si="20"/>
        <v>75000</v>
      </c>
      <c r="AW283" s="32"/>
      <c r="AX283" s="28">
        <v>71779</v>
      </c>
      <c r="AY283" s="29">
        <f t="shared" si="21"/>
        <v>-3221</v>
      </c>
      <c r="AZ283" s="25"/>
      <c r="BA283" s="30">
        <f>56000*0+65000</f>
        <v>65000</v>
      </c>
    </row>
    <row r="284" spans="1:53" ht="12.75" hidden="1">
      <c r="A284" s="395"/>
      <c r="B284" s="376" t="s">
        <v>103</v>
      </c>
      <c r="C284" s="377"/>
      <c r="D284" s="377"/>
      <c r="E284" s="378"/>
      <c r="F284" s="379" t="s">
        <v>353</v>
      </c>
      <c r="G284" s="380"/>
      <c r="H284" s="380"/>
      <c r="I284" s="380"/>
      <c r="J284" s="374" t="s">
        <v>354</v>
      </c>
      <c r="K284" s="374"/>
      <c r="L284" s="374"/>
      <c r="M284" s="374"/>
      <c r="N284" s="374"/>
      <c r="O284" s="374"/>
      <c r="P284" s="374"/>
      <c r="Q284" s="374"/>
      <c r="R284" s="374"/>
      <c r="S284" s="374"/>
      <c r="T284" s="374"/>
      <c r="U284" s="374"/>
      <c r="V284" s="374"/>
      <c r="W284" s="374"/>
      <c r="X284" s="374"/>
      <c r="Y284" s="374"/>
      <c r="Z284" s="374"/>
      <c r="AA284" s="374"/>
      <c r="AB284" s="374"/>
      <c r="AC284" s="374"/>
      <c r="AD284" s="374"/>
      <c r="AE284" s="387"/>
      <c r="AF284" s="369"/>
      <c r="AG284" s="370"/>
      <c r="AH284" s="370"/>
      <c r="AI284" s="371"/>
      <c r="AJ284" s="370" t="s">
        <v>344</v>
      </c>
      <c r="AK284" s="370"/>
      <c r="AL284" s="370"/>
      <c r="AM284" s="370"/>
      <c r="AN284" s="369" t="s">
        <v>621</v>
      </c>
      <c r="AO284" s="370"/>
      <c r="AP284" s="370"/>
      <c r="AQ284" s="371"/>
      <c r="AR284" s="24"/>
      <c r="AS284" s="65"/>
      <c r="AT284" s="55">
        <v>8000</v>
      </c>
      <c r="AU284" s="55">
        <v>4000</v>
      </c>
      <c r="AV284" s="56">
        <f t="shared" si="20"/>
        <v>12000</v>
      </c>
      <c r="AW284" s="32"/>
      <c r="AX284" s="28">
        <v>10762</v>
      </c>
      <c r="AY284" s="29">
        <f t="shared" si="21"/>
        <v>-1238</v>
      </c>
      <c r="AZ284" s="25"/>
      <c r="BA284" s="30">
        <f>0+4000</f>
        <v>4000</v>
      </c>
    </row>
    <row r="285" spans="1:53" ht="12.75" hidden="1">
      <c r="A285" s="395"/>
      <c r="B285" s="376" t="s">
        <v>103</v>
      </c>
      <c r="C285" s="377"/>
      <c r="D285" s="377"/>
      <c r="E285" s="378"/>
      <c r="F285" s="379" t="s">
        <v>480</v>
      </c>
      <c r="G285" s="380"/>
      <c r="H285" s="380"/>
      <c r="I285" s="380"/>
      <c r="J285" s="374" t="s">
        <v>481</v>
      </c>
      <c r="K285" s="374"/>
      <c r="L285" s="374"/>
      <c r="M285" s="374"/>
      <c r="N285" s="374"/>
      <c r="O285" s="374"/>
      <c r="P285" s="374"/>
      <c r="Q285" s="374"/>
      <c r="R285" s="374"/>
      <c r="S285" s="374"/>
      <c r="T285" s="374"/>
      <c r="U285" s="374"/>
      <c r="V285" s="374"/>
      <c r="W285" s="374"/>
      <c r="X285" s="374"/>
      <c r="Y285" s="374"/>
      <c r="Z285" s="374"/>
      <c r="AA285" s="374"/>
      <c r="AB285" s="374"/>
      <c r="AC285" s="374"/>
      <c r="AD285" s="374"/>
      <c r="AE285" s="387"/>
      <c r="AF285" s="53"/>
      <c r="AG285" s="31"/>
      <c r="AH285" s="31"/>
      <c r="AI285" s="54"/>
      <c r="AJ285" s="31"/>
      <c r="AK285" s="31"/>
      <c r="AL285" s="31"/>
      <c r="AM285" s="31"/>
      <c r="AN285" s="53"/>
      <c r="AO285" s="31"/>
      <c r="AP285" s="31"/>
      <c r="AQ285" s="54"/>
      <c r="AR285" s="24"/>
      <c r="AS285" s="65"/>
      <c r="AT285" s="55"/>
      <c r="AU285" s="55">
        <v>103000</v>
      </c>
      <c r="AV285" s="56">
        <f>AT285+AU285</f>
        <v>103000</v>
      </c>
      <c r="AW285" s="32"/>
      <c r="AX285" s="28"/>
      <c r="AY285" s="29"/>
      <c r="AZ285" s="25"/>
      <c r="BA285" s="30"/>
    </row>
    <row r="286" spans="1:53" ht="12.75" hidden="1">
      <c r="A286" s="395"/>
      <c r="B286" s="376" t="s">
        <v>103</v>
      </c>
      <c r="C286" s="377"/>
      <c r="D286" s="377"/>
      <c r="E286" s="378"/>
      <c r="F286" s="379" t="s">
        <v>284</v>
      </c>
      <c r="G286" s="380"/>
      <c r="H286" s="380"/>
      <c r="I286" s="380"/>
      <c r="J286" s="374" t="s">
        <v>285</v>
      </c>
      <c r="K286" s="374"/>
      <c r="L286" s="374"/>
      <c r="M286" s="374"/>
      <c r="N286" s="374"/>
      <c r="O286" s="374"/>
      <c r="P286" s="374"/>
      <c r="Q286" s="374"/>
      <c r="R286" s="374"/>
      <c r="S286" s="374"/>
      <c r="T286" s="374"/>
      <c r="U286" s="374"/>
      <c r="V286" s="374"/>
      <c r="W286" s="374"/>
      <c r="X286" s="374"/>
      <c r="Y286" s="374"/>
      <c r="Z286" s="374"/>
      <c r="AA286" s="374"/>
      <c r="AB286" s="374"/>
      <c r="AC286" s="374"/>
      <c r="AD286" s="374"/>
      <c r="AE286" s="387"/>
      <c r="AF286" s="369"/>
      <c r="AG286" s="370"/>
      <c r="AH286" s="370"/>
      <c r="AI286" s="371"/>
      <c r="AJ286" s="370"/>
      <c r="AK286" s="370"/>
      <c r="AL286" s="370"/>
      <c r="AM286" s="370"/>
      <c r="AN286" s="369" t="s">
        <v>622</v>
      </c>
      <c r="AO286" s="370"/>
      <c r="AP286" s="370"/>
      <c r="AQ286" s="371"/>
      <c r="AR286" s="24"/>
      <c r="AS286" s="65"/>
      <c r="AT286" s="55"/>
      <c r="AU286" s="55"/>
      <c r="AV286" s="56">
        <f t="shared" si="20"/>
        <v>0</v>
      </c>
      <c r="AW286" s="32"/>
      <c r="AX286" s="28">
        <v>23000</v>
      </c>
      <c r="AY286" s="29">
        <f t="shared" si="21"/>
        <v>23000</v>
      </c>
      <c r="AZ286" s="25"/>
      <c r="BA286" s="30"/>
    </row>
    <row r="287" spans="1:53" ht="12.75" hidden="1">
      <c r="A287" s="395"/>
      <c r="B287" s="376" t="s">
        <v>103</v>
      </c>
      <c r="C287" s="377"/>
      <c r="D287" s="377"/>
      <c r="E287" s="378"/>
      <c r="F287" s="379" t="s">
        <v>623</v>
      </c>
      <c r="G287" s="380"/>
      <c r="H287" s="380"/>
      <c r="I287" s="380"/>
      <c r="J287" s="374" t="s">
        <v>624</v>
      </c>
      <c r="K287" s="374"/>
      <c r="L287" s="374"/>
      <c r="M287" s="374"/>
      <c r="N287" s="374"/>
      <c r="O287" s="374"/>
      <c r="P287" s="374"/>
      <c r="Q287" s="374"/>
      <c r="R287" s="374"/>
      <c r="S287" s="374"/>
      <c r="T287" s="374"/>
      <c r="U287" s="374"/>
      <c r="V287" s="374"/>
      <c r="W287" s="374"/>
      <c r="X287" s="374"/>
      <c r="Y287" s="374"/>
      <c r="Z287" s="374"/>
      <c r="AA287" s="374"/>
      <c r="AB287" s="374"/>
      <c r="AC287" s="374"/>
      <c r="AD287" s="374"/>
      <c r="AE287" s="387"/>
      <c r="AF287" s="369"/>
      <c r="AG287" s="370"/>
      <c r="AH287" s="370"/>
      <c r="AI287" s="371"/>
      <c r="AJ287" s="370"/>
      <c r="AK287" s="370"/>
      <c r="AL287" s="370"/>
      <c r="AM287" s="370"/>
      <c r="AN287" s="369" t="s">
        <v>625</v>
      </c>
      <c r="AO287" s="370"/>
      <c r="AP287" s="370"/>
      <c r="AQ287" s="371"/>
      <c r="AR287" s="24"/>
      <c r="AS287" s="65"/>
      <c r="AT287" s="55"/>
      <c r="AU287" s="55"/>
      <c r="AV287" s="56">
        <f t="shared" si="20"/>
        <v>0</v>
      </c>
      <c r="AW287" s="32"/>
      <c r="AX287" s="28">
        <v>122937</v>
      </c>
      <c r="AY287" s="29">
        <f t="shared" si="21"/>
        <v>122937</v>
      </c>
      <c r="AZ287" s="25"/>
      <c r="BA287" s="30"/>
    </row>
    <row r="288" spans="1:53" ht="21.75" customHeight="1" hidden="1">
      <c r="A288" s="395"/>
      <c r="B288" s="376" t="s">
        <v>103</v>
      </c>
      <c r="C288" s="377"/>
      <c r="D288" s="377"/>
      <c r="E288" s="378"/>
      <c r="F288" s="402" t="s">
        <v>360</v>
      </c>
      <c r="G288" s="403"/>
      <c r="H288" s="403"/>
      <c r="I288" s="403"/>
      <c r="J288" s="374" t="s">
        <v>705</v>
      </c>
      <c r="K288" s="374"/>
      <c r="L288" s="374"/>
      <c r="M288" s="374"/>
      <c r="N288" s="374"/>
      <c r="O288" s="374"/>
      <c r="P288" s="374"/>
      <c r="Q288" s="374"/>
      <c r="R288" s="374"/>
      <c r="S288" s="374"/>
      <c r="T288" s="374"/>
      <c r="U288" s="374"/>
      <c r="V288" s="374"/>
      <c r="W288" s="374"/>
      <c r="X288" s="374"/>
      <c r="Y288" s="374"/>
      <c r="Z288" s="374"/>
      <c r="AA288" s="374"/>
      <c r="AB288" s="374"/>
      <c r="AC288" s="374"/>
      <c r="AD288" s="374"/>
      <c r="AE288" s="387"/>
      <c r="AF288" s="369"/>
      <c r="AG288" s="370"/>
      <c r="AH288" s="370"/>
      <c r="AI288" s="371"/>
      <c r="AJ288" s="370"/>
      <c r="AK288" s="370"/>
      <c r="AL288" s="370"/>
      <c r="AM288" s="370"/>
      <c r="AN288" s="369" t="s">
        <v>626</v>
      </c>
      <c r="AO288" s="370"/>
      <c r="AP288" s="370"/>
      <c r="AQ288" s="371"/>
      <c r="AR288" s="24"/>
      <c r="AS288" s="65"/>
      <c r="AT288" s="55"/>
      <c r="AU288" s="55"/>
      <c r="AV288" s="56">
        <f t="shared" si="20"/>
        <v>0</v>
      </c>
      <c r="AW288" s="32"/>
      <c r="AX288" s="28">
        <v>944000</v>
      </c>
      <c r="AY288" s="29">
        <f t="shared" si="21"/>
        <v>944000</v>
      </c>
      <c r="AZ288" s="25"/>
      <c r="BA288" s="30"/>
    </row>
    <row r="289" spans="1:53" ht="12.75" hidden="1">
      <c r="A289" s="395"/>
      <c r="B289" s="376" t="s">
        <v>103</v>
      </c>
      <c r="C289" s="377"/>
      <c r="D289" s="377"/>
      <c r="E289" s="378"/>
      <c r="F289" s="379" t="s">
        <v>424</v>
      </c>
      <c r="G289" s="380"/>
      <c r="H289" s="380"/>
      <c r="I289" s="380"/>
      <c r="J289" s="374" t="s">
        <v>425</v>
      </c>
      <c r="K289" s="374"/>
      <c r="L289" s="374"/>
      <c r="M289" s="374"/>
      <c r="N289" s="374"/>
      <c r="O289" s="374"/>
      <c r="P289" s="374"/>
      <c r="Q289" s="374"/>
      <c r="R289" s="374"/>
      <c r="S289" s="374"/>
      <c r="T289" s="374"/>
      <c r="U289" s="374"/>
      <c r="V289" s="374"/>
      <c r="W289" s="374"/>
      <c r="X289" s="374"/>
      <c r="Y289" s="374"/>
      <c r="Z289" s="374"/>
      <c r="AA289" s="374"/>
      <c r="AB289" s="374"/>
      <c r="AC289" s="374"/>
      <c r="AD289" s="374"/>
      <c r="AE289" s="387"/>
      <c r="AF289" s="369" t="s">
        <v>546</v>
      </c>
      <c r="AG289" s="370"/>
      <c r="AH289" s="370"/>
      <c r="AI289" s="371"/>
      <c r="AJ289" s="370" t="s">
        <v>546</v>
      </c>
      <c r="AK289" s="370"/>
      <c r="AL289" s="370"/>
      <c r="AM289" s="370"/>
      <c r="AN289" s="369" t="s">
        <v>627</v>
      </c>
      <c r="AO289" s="370"/>
      <c r="AP289" s="370"/>
      <c r="AQ289" s="371"/>
      <c r="AR289" s="24"/>
      <c r="AS289" s="65">
        <v>40000</v>
      </c>
      <c r="AT289" s="55">
        <v>40000</v>
      </c>
      <c r="AU289" s="55">
        <v>30000</v>
      </c>
      <c r="AV289" s="56">
        <f t="shared" si="20"/>
        <v>70000</v>
      </c>
      <c r="AW289" s="32"/>
      <c r="AX289" s="28">
        <v>67500</v>
      </c>
      <c r="AY289" s="29">
        <f t="shared" si="21"/>
        <v>-2500</v>
      </c>
      <c r="AZ289" s="25"/>
      <c r="BA289" s="30">
        <v>40000</v>
      </c>
    </row>
    <row r="290" spans="1:53" ht="12.75" hidden="1">
      <c r="A290" s="395"/>
      <c r="B290" s="376" t="s">
        <v>103</v>
      </c>
      <c r="C290" s="377"/>
      <c r="D290" s="377"/>
      <c r="E290" s="378"/>
      <c r="F290" s="379" t="s">
        <v>628</v>
      </c>
      <c r="G290" s="380"/>
      <c r="H290" s="380"/>
      <c r="I290" s="380"/>
      <c r="J290" s="374" t="s">
        <v>629</v>
      </c>
      <c r="K290" s="374"/>
      <c r="L290" s="374"/>
      <c r="M290" s="374"/>
      <c r="N290" s="374"/>
      <c r="O290" s="374"/>
      <c r="P290" s="374"/>
      <c r="Q290" s="374"/>
      <c r="R290" s="374"/>
      <c r="S290" s="374"/>
      <c r="T290" s="374"/>
      <c r="U290" s="374"/>
      <c r="V290" s="374"/>
      <c r="W290" s="374"/>
      <c r="X290" s="374"/>
      <c r="Y290" s="374"/>
      <c r="Z290" s="374"/>
      <c r="AA290" s="374"/>
      <c r="AB290" s="374"/>
      <c r="AC290" s="374"/>
      <c r="AD290" s="374"/>
      <c r="AE290" s="387"/>
      <c r="AF290" s="369" t="s">
        <v>630</v>
      </c>
      <c r="AG290" s="370"/>
      <c r="AH290" s="370"/>
      <c r="AI290" s="371"/>
      <c r="AJ290" s="370" t="s">
        <v>630</v>
      </c>
      <c r="AK290" s="370"/>
      <c r="AL290" s="370"/>
      <c r="AM290" s="370"/>
      <c r="AN290" s="369" t="s">
        <v>631</v>
      </c>
      <c r="AO290" s="370"/>
      <c r="AP290" s="370"/>
      <c r="AQ290" s="371"/>
      <c r="AR290" s="24"/>
      <c r="AS290" s="65">
        <v>123000</v>
      </c>
      <c r="AT290" s="55">
        <v>123000</v>
      </c>
      <c r="AU290" s="55">
        <v>-81000</v>
      </c>
      <c r="AV290" s="56">
        <f t="shared" si="20"/>
        <v>42000</v>
      </c>
      <c r="AW290" s="32"/>
      <c r="AX290" s="28">
        <v>41494</v>
      </c>
      <c r="AY290" s="29">
        <f t="shared" si="21"/>
        <v>-506</v>
      </c>
      <c r="AZ290" s="25"/>
      <c r="BA290" s="30">
        <f>123000-80000</f>
        <v>43000</v>
      </c>
    </row>
    <row r="291" spans="1:53" ht="12.75" hidden="1">
      <c r="A291" s="395"/>
      <c r="B291" s="376" t="s">
        <v>103</v>
      </c>
      <c r="C291" s="377"/>
      <c r="D291" s="377"/>
      <c r="E291" s="378"/>
      <c r="F291" s="379" t="s">
        <v>632</v>
      </c>
      <c r="G291" s="380"/>
      <c r="H291" s="380"/>
      <c r="I291" s="380"/>
      <c r="J291" s="374" t="s">
        <v>633</v>
      </c>
      <c r="K291" s="374"/>
      <c r="L291" s="374"/>
      <c r="M291" s="374"/>
      <c r="N291" s="374"/>
      <c r="O291" s="374"/>
      <c r="P291" s="374"/>
      <c r="Q291" s="374"/>
      <c r="R291" s="374"/>
      <c r="S291" s="374"/>
      <c r="T291" s="374"/>
      <c r="U291" s="374"/>
      <c r="V291" s="374"/>
      <c r="W291" s="374"/>
      <c r="X291" s="374"/>
      <c r="Y291" s="374"/>
      <c r="Z291" s="374"/>
      <c r="AA291" s="374"/>
      <c r="AB291" s="374"/>
      <c r="AC291" s="374"/>
      <c r="AD291" s="374"/>
      <c r="AE291" s="387"/>
      <c r="AF291" s="369"/>
      <c r="AG291" s="370"/>
      <c r="AH291" s="370"/>
      <c r="AI291" s="371"/>
      <c r="AJ291" s="370"/>
      <c r="AK291" s="370"/>
      <c r="AL291" s="370"/>
      <c r="AM291" s="370"/>
      <c r="AN291" s="369" t="s">
        <v>377</v>
      </c>
      <c r="AO291" s="370"/>
      <c r="AP291" s="370"/>
      <c r="AQ291" s="371"/>
      <c r="AR291" s="24"/>
      <c r="AS291" s="65"/>
      <c r="AT291" s="55"/>
      <c r="AU291" s="55">
        <v>0</v>
      </c>
      <c r="AV291" s="56">
        <f t="shared" si="20"/>
        <v>0</v>
      </c>
      <c r="AW291" s="32"/>
      <c r="AX291" s="28">
        <v>17000</v>
      </c>
      <c r="AY291" s="29">
        <f t="shared" si="21"/>
        <v>17000</v>
      </c>
      <c r="AZ291" s="25"/>
      <c r="BA291" s="30"/>
    </row>
    <row r="292" spans="1:53" ht="12.75" hidden="1">
      <c r="A292" s="395"/>
      <c r="B292" s="376" t="s">
        <v>103</v>
      </c>
      <c r="C292" s="377"/>
      <c r="D292" s="377"/>
      <c r="E292" s="378"/>
      <c r="F292" s="402" t="s">
        <v>363</v>
      </c>
      <c r="G292" s="403"/>
      <c r="H292" s="403"/>
      <c r="I292" s="403"/>
      <c r="J292" s="374" t="s">
        <v>364</v>
      </c>
      <c r="K292" s="374"/>
      <c r="L292" s="374"/>
      <c r="M292" s="374"/>
      <c r="N292" s="374"/>
      <c r="O292" s="374"/>
      <c r="P292" s="374"/>
      <c r="Q292" s="374"/>
      <c r="R292" s="374"/>
      <c r="S292" s="374"/>
      <c r="T292" s="374"/>
      <c r="U292" s="374"/>
      <c r="V292" s="374"/>
      <c r="W292" s="374"/>
      <c r="X292" s="374"/>
      <c r="Y292" s="374"/>
      <c r="Z292" s="374"/>
      <c r="AA292" s="374"/>
      <c r="AB292" s="374"/>
      <c r="AC292" s="374"/>
      <c r="AD292" s="374"/>
      <c r="AE292" s="387"/>
      <c r="AF292" s="369" t="s">
        <v>528</v>
      </c>
      <c r="AG292" s="370"/>
      <c r="AH292" s="370"/>
      <c r="AI292" s="371"/>
      <c r="AJ292" s="370" t="s">
        <v>528</v>
      </c>
      <c r="AK292" s="370"/>
      <c r="AL292" s="370"/>
      <c r="AM292" s="370"/>
      <c r="AN292" s="369" t="s">
        <v>634</v>
      </c>
      <c r="AO292" s="370"/>
      <c r="AP292" s="370"/>
      <c r="AQ292" s="371"/>
      <c r="AR292" s="24"/>
      <c r="AS292" s="65">
        <v>350000</v>
      </c>
      <c r="AT292" s="55">
        <v>350000</v>
      </c>
      <c r="AU292" s="55">
        <f>472000-350000</f>
        <v>122000</v>
      </c>
      <c r="AV292" s="56">
        <f t="shared" si="20"/>
        <v>472000</v>
      </c>
      <c r="AW292" s="32"/>
      <c r="AX292" s="28">
        <v>472000</v>
      </c>
      <c r="AY292" s="29">
        <f t="shared" si="21"/>
        <v>0</v>
      </c>
      <c r="AZ292" s="25"/>
      <c r="BA292" s="30">
        <f>350000/2+109000*0</f>
        <v>175000</v>
      </c>
    </row>
    <row r="293" spans="1:53" ht="12.75" hidden="1">
      <c r="A293" s="395"/>
      <c r="B293" s="376" t="s">
        <v>103</v>
      </c>
      <c r="C293" s="377"/>
      <c r="D293" s="377"/>
      <c r="E293" s="378"/>
      <c r="F293" s="402" t="s">
        <v>635</v>
      </c>
      <c r="G293" s="403"/>
      <c r="H293" s="403"/>
      <c r="I293" s="403"/>
      <c r="J293" s="374" t="s">
        <v>636</v>
      </c>
      <c r="K293" s="374"/>
      <c r="L293" s="374"/>
      <c r="M293" s="374"/>
      <c r="N293" s="374"/>
      <c r="O293" s="374"/>
      <c r="P293" s="374"/>
      <c r="Q293" s="374"/>
      <c r="R293" s="374"/>
      <c r="S293" s="374"/>
      <c r="T293" s="374"/>
      <c r="U293" s="374"/>
      <c r="V293" s="374"/>
      <c r="W293" s="374"/>
      <c r="X293" s="374"/>
      <c r="Y293" s="374"/>
      <c r="Z293" s="374"/>
      <c r="AA293" s="374"/>
      <c r="AB293" s="374"/>
      <c r="AC293" s="374"/>
      <c r="AD293" s="374"/>
      <c r="AE293" s="387"/>
      <c r="AF293" s="369"/>
      <c r="AG293" s="370"/>
      <c r="AH293" s="370"/>
      <c r="AI293" s="371"/>
      <c r="AJ293" s="370"/>
      <c r="AK293" s="370"/>
      <c r="AL293" s="370"/>
      <c r="AM293" s="370"/>
      <c r="AN293" s="369" t="s">
        <v>637</v>
      </c>
      <c r="AO293" s="370"/>
      <c r="AP293" s="370"/>
      <c r="AQ293" s="371"/>
      <c r="AR293" s="24"/>
      <c r="AS293" s="65"/>
      <c r="AT293" s="55"/>
      <c r="AU293" s="55">
        <f>17500-0</f>
        <v>17500</v>
      </c>
      <c r="AV293" s="56">
        <f t="shared" si="20"/>
        <v>17500</v>
      </c>
      <c r="AW293" s="32"/>
      <c r="AX293" s="28">
        <v>17500</v>
      </c>
      <c r="AY293" s="29">
        <f t="shared" si="21"/>
        <v>0</v>
      </c>
      <c r="AZ293" s="25"/>
      <c r="BA293" s="30"/>
    </row>
    <row r="294" spans="1:53" ht="12.75" hidden="1">
      <c r="A294" s="395"/>
      <c r="B294" s="376" t="s">
        <v>103</v>
      </c>
      <c r="C294" s="377"/>
      <c r="D294" s="377"/>
      <c r="E294" s="378"/>
      <c r="F294" s="402" t="s">
        <v>367</v>
      </c>
      <c r="G294" s="403"/>
      <c r="H294" s="403"/>
      <c r="I294" s="403"/>
      <c r="J294" s="374" t="s">
        <v>368</v>
      </c>
      <c r="K294" s="374"/>
      <c r="L294" s="374"/>
      <c r="M294" s="374"/>
      <c r="N294" s="374"/>
      <c r="O294" s="374"/>
      <c r="P294" s="374"/>
      <c r="Q294" s="374"/>
      <c r="R294" s="374"/>
      <c r="S294" s="374"/>
      <c r="T294" s="374"/>
      <c r="U294" s="374"/>
      <c r="V294" s="374"/>
      <c r="W294" s="374"/>
      <c r="X294" s="374"/>
      <c r="Y294" s="374"/>
      <c r="Z294" s="374"/>
      <c r="AA294" s="374"/>
      <c r="AB294" s="374"/>
      <c r="AC294" s="374"/>
      <c r="AD294" s="374"/>
      <c r="AE294" s="387"/>
      <c r="AF294" s="369" t="s">
        <v>148</v>
      </c>
      <c r="AG294" s="370"/>
      <c r="AH294" s="370"/>
      <c r="AI294" s="371"/>
      <c r="AJ294" s="370" t="s">
        <v>148</v>
      </c>
      <c r="AK294" s="370"/>
      <c r="AL294" s="370"/>
      <c r="AM294" s="370"/>
      <c r="AN294" s="369" t="s">
        <v>638</v>
      </c>
      <c r="AO294" s="370"/>
      <c r="AP294" s="370"/>
      <c r="AQ294" s="371"/>
      <c r="AR294" s="24"/>
      <c r="AS294" s="65">
        <v>400000</v>
      </c>
      <c r="AT294" s="55">
        <v>400000</v>
      </c>
      <c r="AU294" s="55">
        <f>117900+(AU292+AU293)-(350000*0+400000)-139500</f>
        <v>-282100</v>
      </c>
      <c r="AV294" s="56">
        <f t="shared" si="20"/>
        <v>117900</v>
      </c>
      <c r="AW294" s="32">
        <f>SUM(AU292:AU294)</f>
        <v>-142600</v>
      </c>
      <c r="AX294" s="28">
        <v>117900</v>
      </c>
      <c r="AY294" s="29">
        <f t="shared" si="21"/>
        <v>0</v>
      </c>
      <c r="AZ294" s="25"/>
      <c r="BA294" s="30">
        <f>400000/2</f>
        <v>200000</v>
      </c>
    </row>
    <row r="295" spans="1:53" ht="12.75" hidden="1">
      <c r="A295" s="395"/>
      <c r="B295" s="376" t="s">
        <v>103</v>
      </c>
      <c r="C295" s="377"/>
      <c r="D295" s="377"/>
      <c r="E295" s="378"/>
      <c r="F295" s="379" t="s">
        <v>639</v>
      </c>
      <c r="G295" s="380"/>
      <c r="H295" s="380"/>
      <c r="I295" s="380"/>
      <c r="J295" s="374" t="s">
        <v>640</v>
      </c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4"/>
      <c r="Z295" s="374"/>
      <c r="AA295" s="374"/>
      <c r="AB295" s="374"/>
      <c r="AC295" s="374"/>
      <c r="AD295" s="374"/>
      <c r="AE295" s="387"/>
      <c r="AF295" s="369" t="s">
        <v>280</v>
      </c>
      <c r="AG295" s="370"/>
      <c r="AH295" s="370"/>
      <c r="AI295" s="371"/>
      <c r="AJ295" s="370" t="s">
        <v>280</v>
      </c>
      <c r="AK295" s="370"/>
      <c r="AL295" s="370"/>
      <c r="AM295" s="370"/>
      <c r="AN295" s="369" t="s">
        <v>641</v>
      </c>
      <c r="AO295" s="370"/>
      <c r="AP295" s="370"/>
      <c r="AQ295" s="371"/>
      <c r="AR295" s="24"/>
      <c r="AS295" s="65">
        <v>9000</v>
      </c>
      <c r="AT295" s="55">
        <v>9000</v>
      </c>
      <c r="AU295" s="55">
        <v>-4000</v>
      </c>
      <c r="AV295" s="56">
        <f t="shared" si="20"/>
        <v>5000</v>
      </c>
      <c r="AW295" s="32"/>
      <c r="AX295" s="28">
        <v>4500</v>
      </c>
      <c r="AY295" s="29">
        <f t="shared" si="21"/>
        <v>-500</v>
      </c>
      <c r="AZ295" s="25"/>
      <c r="BA295" s="30">
        <f>9000*0+3000</f>
        <v>3000</v>
      </c>
    </row>
    <row r="296" spans="1:53" ht="12.75" hidden="1">
      <c r="A296" s="395"/>
      <c r="B296" s="376" t="s">
        <v>103</v>
      </c>
      <c r="C296" s="377"/>
      <c r="D296" s="377"/>
      <c r="E296" s="378"/>
      <c r="F296" s="379" t="s">
        <v>642</v>
      </c>
      <c r="G296" s="380"/>
      <c r="H296" s="380"/>
      <c r="I296" s="380"/>
      <c r="J296" s="374" t="s">
        <v>643</v>
      </c>
      <c r="K296" s="374"/>
      <c r="L296" s="374"/>
      <c r="M296" s="374"/>
      <c r="N296" s="374"/>
      <c r="O296" s="374"/>
      <c r="P296" s="374"/>
      <c r="Q296" s="374"/>
      <c r="R296" s="374"/>
      <c r="S296" s="374"/>
      <c r="T296" s="374"/>
      <c r="U296" s="374"/>
      <c r="V296" s="374"/>
      <c r="W296" s="374"/>
      <c r="X296" s="374"/>
      <c r="Y296" s="374"/>
      <c r="Z296" s="374"/>
      <c r="AA296" s="374"/>
      <c r="AB296" s="374"/>
      <c r="AC296" s="374"/>
      <c r="AD296" s="374"/>
      <c r="AE296" s="387"/>
      <c r="AF296" s="369" t="s">
        <v>377</v>
      </c>
      <c r="AG296" s="370"/>
      <c r="AH296" s="370"/>
      <c r="AI296" s="371"/>
      <c r="AJ296" s="370" t="s">
        <v>377</v>
      </c>
      <c r="AK296" s="370"/>
      <c r="AL296" s="370"/>
      <c r="AM296" s="370"/>
      <c r="AN296" s="369" t="s">
        <v>644</v>
      </c>
      <c r="AO296" s="370"/>
      <c r="AP296" s="370"/>
      <c r="AQ296" s="371"/>
      <c r="AR296" s="24"/>
      <c r="AS296" s="65">
        <v>17000</v>
      </c>
      <c r="AT296" s="55">
        <v>17000</v>
      </c>
      <c r="AU296" s="55">
        <v>-14000</v>
      </c>
      <c r="AV296" s="56">
        <f t="shared" si="20"/>
        <v>3000</v>
      </c>
      <c r="AW296" s="32"/>
      <c r="AX296" s="28">
        <v>2500</v>
      </c>
      <c r="AY296" s="29">
        <f t="shared" si="21"/>
        <v>-500</v>
      </c>
      <c r="AZ296" s="25"/>
      <c r="BA296" s="30">
        <f>17000-7000</f>
        <v>10000</v>
      </c>
    </row>
    <row r="297" spans="1:53" ht="12.75" hidden="1">
      <c r="A297" s="395"/>
      <c r="B297" s="376" t="s">
        <v>103</v>
      </c>
      <c r="C297" s="377"/>
      <c r="D297" s="377"/>
      <c r="E297" s="378"/>
      <c r="F297" s="379" t="s">
        <v>645</v>
      </c>
      <c r="G297" s="380"/>
      <c r="H297" s="380"/>
      <c r="I297" s="380"/>
      <c r="J297" s="374" t="s">
        <v>646</v>
      </c>
      <c r="K297" s="374"/>
      <c r="L297" s="374"/>
      <c r="M297" s="374"/>
      <c r="N297" s="374"/>
      <c r="O297" s="374"/>
      <c r="P297" s="374"/>
      <c r="Q297" s="374"/>
      <c r="R297" s="374"/>
      <c r="S297" s="374"/>
      <c r="T297" s="374"/>
      <c r="U297" s="374"/>
      <c r="V297" s="374"/>
      <c r="W297" s="374"/>
      <c r="X297" s="374"/>
      <c r="Y297" s="374"/>
      <c r="Z297" s="374"/>
      <c r="AA297" s="374"/>
      <c r="AB297" s="374"/>
      <c r="AC297" s="374"/>
      <c r="AD297" s="374"/>
      <c r="AE297" s="387"/>
      <c r="AF297" s="369"/>
      <c r="AG297" s="370"/>
      <c r="AH297" s="370"/>
      <c r="AI297" s="371"/>
      <c r="AJ297" s="370"/>
      <c r="AK297" s="370"/>
      <c r="AL297" s="370"/>
      <c r="AM297" s="370"/>
      <c r="AN297" s="369" t="s">
        <v>278</v>
      </c>
      <c r="AO297" s="370"/>
      <c r="AP297" s="370"/>
      <c r="AQ297" s="371"/>
      <c r="AR297" s="24"/>
      <c r="AS297" s="65"/>
      <c r="AT297" s="55"/>
      <c r="AU297" s="55">
        <v>1000</v>
      </c>
      <c r="AV297" s="56">
        <f t="shared" si="20"/>
        <v>1000</v>
      </c>
      <c r="AW297" s="32"/>
      <c r="AX297" s="28">
        <v>1000</v>
      </c>
      <c r="AY297" s="29">
        <f t="shared" si="21"/>
        <v>0</v>
      </c>
      <c r="AZ297" s="25"/>
      <c r="BA297" s="30"/>
    </row>
    <row r="298" spans="1:53" ht="12.75" hidden="1">
      <c r="A298" s="395"/>
      <c r="B298" s="376" t="s">
        <v>103</v>
      </c>
      <c r="C298" s="377"/>
      <c r="D298" s="377"/>
      <c r="E298" s="378"/>
      <c r="F298" s="379" t="s">
        <v>286</v>
      </c>
      <c r="G298" s="380"/>
      <c r="H298" s="380"/>
      <c r="I298" s="380"/>
      <c r="J298" s="374" t="s">
        <v>287</v>
      </c>
      <c r="K298" s="374"/>
      <c r="L298" s="374"/>
      <c r="M298" s="374"/>
      <c r="N298" s="374"/>
      <c r="O298" s="374"/>
      <c r="P298" s="374"/>
      <c r="Q298" s="374"/>
      <c r="R298" s="374"/>
      <c r="S298" s="374"/>
      <c r="T298" s="374"/>
      <c r="U298" s="374"/>
      <c r="V298" s="374"/>
      <c r="W298" s="374"/>
      <c r="X298" s="374"/>
      <c r="Y298" s="374"/>
      <c r="Z298" s="374"/>
      <c r="AA298" s="374"/>
      <c r="AB298" s="374"/>
      <c r="AC298" s="374"/>
      <c r="AD298" s="374"/>
      <c r="AE298" s="387"/>
      <c r="AF298" s="369" t="s">
        <v>630</v>
      </c>
      <c r="AG298" s="370"/>
      <c r="AH298" s="370"/>
      <c r="AI298" s="371"/>
      <c r="AJ298" s="370" t="s">
        <v>630</v>
      </c>
      <c r="AK298" s="370"/>
      <c r="AL298" s="370"/>
      <c r="AM298" s="370"/>
      <c r="AN298" s="369" t="s">
        <v>647</v>
      </c>
      <c r="AO298" s="370"/>
      <c r="AP298" s="370"/>
      <c r="AQ298" s="371"/>
      <c r="AR298" s="24"/>
      <c r="AS298" s="65">
        <v>123000</v>
      </c>
      <c r="AT298" s="55">
        <v>123000</v>
      </c>
      <c r="AU298" s="55"/>
      <c r="AV298" s="56">
        <f t="shared" si="20"/>
        <v>123000</v>
      </c>
      <c r="AW298" s="32"/>
      <c r="AX298" s="28">
        <v>87237</v>
      </c>
      <c r="AY298" s="29">
        <f t="shared" si="21"/>
        <v>-35763</v>
      </c>
      <c r="AZ298" s="25"/>
      <c r="BA298" s="30">
        <f>123000*0+100000</f>
        <v>100000</v>
      </c>
    </row>
    <row r="299" spans="1:53" ht="12.75" hidden="1">
      <c r="A299" s="395"/>
      <c r="B299" s="376" t="s">
        <v>103</v>
      </c>
      <c r="C299" s="377"/>
      <c r="D299" s="377"/>
      <c r="E299" s="378"/>
      <c r="F299" s="379" t="s">
        <v>648</v>
      </c>
      <c r="G299" s="380"/>
      <c r="H299" s="380"/>
      <c r="I299" s="380"/>
      <c r="J299" s="374" t="s">
        <v>649</v>
      </c>
      <c r="K299" s="374"/>
      <c r="L299" s="374"/>
      <c r="M299" s="374"/>
      <c r="N299" s="374"/>
      <c r="O299" s="374"/>
      <c r="P299" s="374"/>
      <c r="Q299" s="374"/>
      <c r="R299" s="374"/>
      <c r="S299" s="374"/>
      <c r="T299" s="374"/>
      <c r="U299" s="374"/>
      <c r="V299" s="374"/>
      <c r="W299" s="374"/>
      <c r="X299" s="374"/>
      <c r="Y299" s="374"/>
      <c r="Z299" s="374"/>
      <c r="AA299" s="374"/>
      <c r="AB299" s="374"/>
      <c r="AC299" s="374"/>
      <c r="AD299" s="374"/>
      <c r="AE299" s="387"/>
      <c r="AF299" s="369"/>
      <c r="AG299" s="370"/>
      <c r="AH299" s="370"/>
      <c r="AI299" s="371"/>
      <c r="AJ299" s="370" t="s">
        <v>650</v>
      </c>
      <c r="AK299" s="370"/>
      <c r="AL299" s="370"/>
      <c r="AM299" s="370"/>
      <c r="AN299" s="369"/>
      <c r="AO299" s="370"/>
      <c r="AP299" s="370"/>
      <c r="AQ299" s="371"/>
      <c r="AR299" s="24"/>
      <c r="AS299" s="65"/>
      <c r="AT299" s="55">
        <v>897900</v>
      </c>
      <c r="AU299" s="55">
        <v>0</v>
      </c>
      <c r="AV299" s="56">
        <f t="shared" si="20"/>
        <v>897900</v>
      </c>
      <c r="AW299" s="32"/>
      <c r="AX299" s="28"/>
      <c r="AY299" s="29">
        <f t="shared" si="21"/>
        <v>-897900</v>
      </c>
      <c r="AZ299" s="25"/>
      <c r="BA299" s="30"/>
    </row>
    <row r="300" spans="1:53" ht="12.75" hidden="1">
      <c r="A300" s="395"/>
      <c r="B300" s="376" t="s">
        <v>103</v>
      </c>
      <c r="C300" s="377"/>
      <c r="D300" s="377"/>
      <c r="E300" s="378"/>
      <c r="F300" s="379" t="s">
        <v>651</v>
      </c>
      <c r="G300" s="380"/>
      <c r="H300" s="380"/>
      <c r="I300" s="380"/>
      <c r="J300" s="374" t="s">
        <v>652</v>
      </c>
      <c r="K300" s="374"/>
      <c r="L300" s="374"/>
      <c r="M300" s="374"/>
      <c r="N300" s="374"/>
      <c r="O300" s="374"/>
      <c r="P300" s="374"/>
      <c r="Q300" s="374"/>
      <c r="R300" s="374"/>
      <c r="S300" s="374"/>
      <c r="T300" s="374"/>
      <c r="U300" s="374"/>
      <c r="V300" s="374"/>
      <c r="W300" s="374"/>
      <c r="X300" s="374"/>
      <c r="Y300" s="374"/>
      <c r="Z300" s="374"/>
      <c r="AA300" s="374"/>
      <c r="AB300" s="374"/>
      <c r="AC300" s="374"/>
      <c r="AD300" s="374"/>
      <c r="AE300" s="387"/>
      <c r="AF300" s="369" t="s">
        <v>87</v>
      </c>
      <c r="AG300" s="370"/>
      <c r="AH300" s="370"/>
      <c r="AI300" s="371"/>
      <c r="AJ300" s="370" t="s">
        <v>87</v>
      </c>
      <c r="AK300" s="370"/>
      <c r="AL300" s="370"/>
      <c r="AM300" s="370"/>
      <c r="AN300" s="369" t="s">
        <v>653</v>
      </c>
      <c r="AO300" s="370"/>
      <c r="AP300" s="370"/>
      <c r="AQ300" s="371"/>
      <c r="AR300" s="24"/>
      <c r="AS300" s="65">
        <v>150000</v>
      </c>
      <c r="AT300" s="55">
        <v>150000</v>
      </c>
      <c r="AU300" s="55">
        <f>-60000*0</f>
        <v>0</v>
      </c>
      <c r="AV300" s="56">
        <f t="shared" si="20"/>
        <v>150000</v>
      </c>
      <c r="AW300" s="32"/>
      <c r="AX300" s="28">
        <v>90000</v>
      </c>
      <c r="AY300" s="29">
        <f t="shared" si="21"/>
        <v>-60000</v>
      </c>
      <c r="AZ300" s="25"/>
      <c r="BA300" s="30">
        <v>150000</v>
      </c>
    </row>
    <row r="301" spans="1:53" ht="12.75" hidden="1">
      <c r="A301" s="395"/>
      <c r="B301" s="376" t="s">
        <v>103</v>
      </c>
      <c r="C301" s="377"/>
      <c r="D301" s="377"/>
      <c r="E301" s="378"/>
      <c r="F301" s="379" t="s">
        <v>654</v>
      </c>
      <c r="G301" s="380"/>
      <c r="H301" s="380"/>
      <c r="I301" s="380"/>
      <c r="J301" s="374" t="s">
        <v>655</v>
      </c>
      <c r="K301" s="374"/>
      <c r="L301" s="374"/>
      <c r="M301" s="374"/>
      <c r="N301" s="374"/>
      <c r="O301" s="374"/>
      <c r="P301" s="374"/>
      <c r="Q301" s="374"/>
      <c r="R301" s="374"/>
      <c r="S301" s="374"/>
      <c r="T301" s="374"/>
      <c r="U301" s="374"/>
      <c r="V301" s="374"/>
      <c r="W301" s="374"/>
      <c r="X301" s="374"/>
      <c r="Y301" s="374"/>
      <c r="Z301" s="374"/>
      <c r="AA301" s="374"/>
      <c r="AB301" s="374"/>
      <c r="AC301" s="374"/>
      <c r="AD301" s="374"/>
      <c r="AE301" s="387"/>
      <c r="AF301" s="369" t="s">
        <v>656</v>
      </c>
      <c r="AG301" s="370"/>
      <c r="AH301" s="370"/>
      <c r="AI301" s="371"/>
      <c r="AJ301" s="370" t="s">
        <v>656</v>
      </c>
      <c r="AK301" s="370"/>
      <c r="AL301" s="370"/>
      <c r="AM301" s="370"/>
      <c r="AN301" s="369" t="s">
        <v>657</v>
      </c>
      <c r="AO301" s="370"/>
      <c r="AP301" s="370"/>
      <c r="AQ301" s="371"/>
      <c r="AR301" s="24"/>
      <c r="AS301" s="65">
        <v>898000</v>
      </c>
      <c r="AT301" s="55">
        <v>898000</v>
      </c>
      <c r="AU301" s="55"/>
      <c r="AV301" s="56">
        <f t="shared" si="20"/>
        <v>898000</v>
      </c>
      <c r="AW301" s="32"/>
      <c r="AX301" s="28">
        <v>826576</v>
      </c>
      <c r="AY301" s="29">
        <f t="shared" si="21"/>
        <v>-71424</v>
      </c>
      <c r="AZ301" s="25"/>
      <c r="BA301" s="30">
        <v>898000</v>
      </c>
    </row>
    <row r="302" spans="1:53" ht="12.75" hidden="1">
      <c r="A302" s="395"/>
      <c r="B302" s="376" t="s">
        <v>103</v>
      </c>
      <c r="C302" s="377"/>
      <c r="D302" s="377"/>
      <c r="E302" s="378"/>
      <c r="F302" s="379" t="s">
        <v>658</v>
      </c>
      <c r="G302" s="380"/>
      <c r="H302" s="380"/>
      <c r="I302" s="380"/>
      <c r="J302" s="374" t="s">
        <v>618</v>
      </c>
      <c r="K302" s="374"/>
      <c r="L302" s="374"/>
      <c r="M302" s="374"/>
      <c r="N302" s="374"/>
      <c r="O302" s="374"/>
      <c r="P302" s="374"/>
      <c r="Q302" s="374"/>
      <c r="R302" s="374"/>
      <c r="S302" s="374"/>
      <c r="T302" s="374"/>
      <c r="U302" s="374"/>
      <c r="V302" s="374"/>
      <c r="W302" s="374"/>
      <c r="X302" s="374"/>
      <c r="Y302" s="374"/>
      <c r="Z302" s="374"/>
      <c r="AA302" s="374"/>
      <c r="AB302" s="374"/>
      <c r="AC302" s="374"/>
      <c r="AD302" s="374"/>
      <c r="AE302" s="387"/>
      <c r="AF302" s="369" t="s">
        <v>659</v>
      </c>
      <c r="AG302" s="370"/>
      <c r="AH302" s="370"/>
      <c r="AI302" s="371"/>
      <c r="AJ302" s="370" t="s">
        <v>659</v>
      </c>
      <c r="AK302" s="370"/>
      <c r="AL302" s="370"/>
      <c r="AM302" s="370"/>
      <c r="AN302" s="369"/>
      <c r="AO302" s="370"/>
      <c r="AP302" s="370"/>
      <c r="AQ302" s="371"/>
      <c r="AR302" s="24"/>
      <c r="AS302" s="65">
        <v>279000</v>
      </c>
      <c r="AT302" s="55">
        <v>279000</v>
      </c>
      <c r="AU302" s="55">
        <v>0</v>
      </c>
      <c r="AV302" s="56">
        <f t="shared" si="20"/>
        <v>279000</v>
      </c>
      <c r="AW302" s="32"/>
      <c r="AX302" s="28"/>
      <c r="AY302" s="29">
        <f t="shared" si="21"/>
        <v>-279000</v>
      </c>
      <c r="AZ302" s="25"/>
      <c r="BA302" s="30">
        <f>279000*0+300000</f>
        <v>300000</v>
      </c>
    </row>
    <row r="303" spans="1:53" ht="12.75" hidden="1">
      <c r="A303" s="395"/>
      <c r="B303" s="376" t="s">
        <v>103</v>
      </c>
      <c r="C303" s="377"/>
      <c r="D303" s="377"/>
      <c r="E303" s="378"/>
      <c r="F303" s="379" t="s">
        <v>151</v>
      </c>
      <c r="G303" s="380"/>
      <c r="H303" s="380"/>
      <c r="I303" s="380"/>
      <c r="J303" s="374" t="s">
        <v>152</v>
      </c>
      <c r="K303" s="374"/>
      <c r="L303" s="374"/>
      <c r="M303" s="374"/>
      <c r="N303" s="374"/>
      <c r="O303" s="374"/>
      <c r="P303" s="374"/>
      <c r="Q303" s="374"/>
      <c r="R303" s="374"/>
      <c r="S303" s="374"/>
      <c r="T303" s="374"/>
      <c r="U303" s="374"/>
      <c r="V303" s="374"/>
      <c r="W303" s="374"/>
      <c r="X303" s="374"/>
      <c r="Y303" s="374"/>
      <c r="Z303" s="374"/>
      <c r="AA303" s="374"/>
      <c r="AB303" s="374"/>
      <c r="AC303" s="374"/>
      <c r="AD303" s="374"/>
      <c r="AE303" s="387"/>
      <c r="AF303" s="369" t="s">
        <v>660</v>
      </c>
      <c r="AG303" s="370"/>
      <c r="AH303" s="370"/>
      <c r="AI303" s="371"/>
      <c r="AJ303" s="370" t="s">
        <v>661</v>
      </c>
      <c r="AK303" s="370"/>
      <c r="AL303" s="370"/>
      <c r="AM303" s="370"/>
      <c r="AN303" s="369" t="s">
        <v>662</v>
      </c>
      <c r="AO303" s="370"/>
      <c r="AP303" s="370"/>
      <c r="AQ303" s="371"/>
      <c r="AR303" s="24"/>
      <c r="AS303" s="65">
        <v>1500000</v>
      </c>
      <c r="AT303" s="55">
        <v>1718000</v>
      </c>
      <c r="AU303" s="55">
        <f>56000*0+192108/192108*-1500000+23/23*678000+732/732*140000+682000*0</f>
        <v>-682000</v>
      </c>
      <c r="AV303" s="56">
        <f t="shared" si="20"/>
        <v>1036000</v>
      </c>
      <c r="AW303" s="32"/>
      <c r="AX303" s="28">
        <v>1774033.76</v>
      </c>
      <c r="AY303" s="29">
        <f t="shared" si="21"/>
        <v>738033.76</v>
      </c>
      <c r="AZ303" s="25"/>
      <c r="BA303" s="30">
        <f>1500000*0+23/23*255000</f>
        <v>255000</v>
      </c>
    </row>
    <row r="304" spans="1:53" ht="12.75" hidden="1">
      <c r="A304" s="395"/>
      <c r="B304" s="376" t="s">
        <v>103</v>
      </c>
      <c r="C304" s="377"/>
      <c r="D304" s="377"/>
      <c r="E304" s="378"/>
      <c r="F304" s="379" t="s">
        <v>488</v>
      </c>
      <c r="G304" s="380"/>
      <c r="H304" s="380"/>
      <c r="I304" s="380"/>
      <c r="J304" s="374" t="s">
        <v>489</v>
      </c>
      <c r="K304" s="374"/>
      <c r="L304" s="374"/>
      <c r="M304" s="374"/>
      <c r="N304" s="374"/>
      <c r="O304" s="374"/>
      <c r="P304" s="374"/>
      <c r="Q304" s="374"/>
      <c r="R304" s="374"/>
      <c r="S304" s="374"/>
      <c r="T304" s="374"/>
      <c r="U304" s="374"/>
      <c r="V304" s="374"/>
      <c r="W304" s="374"/>
      <c r="X304" s="374"/>
      <c r="Y304" s="374"/>
      <c r="Z304" s="374"/>
      <c r="AA304" s="374"/>
      <c r="AB304" s="374"/>
      <c r="AC304" s="374"/>
      <c r="AD304" s="374"/>
      <c r="AE304" s="387"/>
      <c r="AF304" s="369" t="s">
        <v>663</v>
      </c>
      <c r="AG304" s="370"/>
      <c r="AH304" s="370"/>
      <c r="AI304" s="371"/>
      <c r="AJ304" s="370" t="s">
        <v>663</v>
      </c>
      <c r="AK304" s="370"/>
      <c r="AL304" s="370"/>
      <c r="AM304" s="370"/>
      <c r="AN304" s="369"/>
      <c r="AO304" s="370"/>
      <c r="AP304" s="370"/>
      <c r="AQ304" s="371"/>
      <c r="AR304" s="24"/>
      <c r="AS304" s="65">
        <v>261000</v>
      </c>
      <c r="AT304" s="55">
        <v>261000</v>
      </c>
      <c r="AU304" s="55">
        <f>-261000+261000*0</f>
        <v>-261000</v>
      </c>
      <c r="AV304" s="56">
        <f t="shared" si="20"/>
        <v>0</v>
      </c>
      <c r="AW304" s="32"/>
      <c r="AX304" s="28"/>
      <c r="AY304" s="29">
        <f t="shared" si="21"/>
        <v>0</v>
      </c>
      <c r="AZ304" s="25"/>
      <c r="BA304" s="30">
        <f>261000*0+200000</f>
        <v>200000</v>
      </c>
    </row>
    <row r="305" spans="1:53" ht="12.75" hidden="1">
      <c r="A305" s="395"/>
      <c r="B305" s="376" t="s">
        <v>103</v>
      </c>
      <c r="C305" s="377"/>
      <c r="D305" s="377"/>
      <c r="E305" s="378"/>
      <c r="F305" s="379" t="s">
        <v>664</v>
      </c>
      <c r="G305" s="380"/>
      <c r="H305" s="380"/>
      <c r="I305" s="380"/>
      <c r="J305" s="374" t="s">
        <v>665</v>
      </c>
      <c r="K305" s="374"/>
      <c r="L305" s="374"/>
      <c r="M305" s="374"/>
      <c r="N305" s="374"/>
      <c r="O305" s="374"/>
      <c r="P305" s="374"/>
      <c r="Q305" s="374"/>
      <c r="R305" s="374"/>
      <c r="S305" s="374"/>
      <c r="T305" s="374"/>
      <c r="U305" s="374"/>
      <c r="V305" s="374"/>
      <c r="W305" s="374"/>
      <c r="X305" s="374"/>
      <c r="Y305" s="374"/>
      <c r="Z305" s="374"/>
      <c r="AA305" s="374"/>
      <c r="AB305" s="374"/>
      <c r="AC305" s="374"/>
      <c r="AD305" s="374"/>
      <c r="AE305" s="387"/>
      <c r="AF305" s="369" t="s">
        <v>666</v>
      </c>
      <c r="AG305" s="370"/>
      <c r="AH305" s="370"/>
      <c r="AI305" s="371"/>
      <c r="AJ305" s="370" t="s">
        <v>667</v>
      </c>
      <c r="AK305" s="370"/>
      <c r="AL305" s="370"/>
      <c r="AM305" s="370"/>
      <c r="AN305" s="369"/>
      <c r="AO305" s="370"/>
      <c r="AP305" s="370"/>
      <c r="AQ305" s="371"/>
      <c r="AR305" s="24"/>
      <c r="AS305" s="65">
        <v>2000000</v>
      </c>
      <c r="AT305" s="55">
        <v>398000</v>
      </c>
      <c r="AU305" s="55">
        <v>0</v>
      </c>
      <c r="AV305" s="56">
        <f t="shared" si="20"/>
        <v>398000</v>
      </c>
      <c r="AW305" s="32"/>
      <c r="AX305" s="28"/>
      <c r="AY305" s="29">
        <f t="shared" si="21"/>
        <v>-398000</v>
      </c>
      <c r="AZ305" s="25"/>
      <c r="BA305" s="30">
        <v>2000000</v>
      </c>
    </row>
    <row r="306" spans="1:53" ht="12.75" hidden="1">
      <c r="A306" s="395"/>
      <c r="B306" s="376" t="s">
        <v>103</v>
      </c>
      <c r="C306" s="377"/>
      <c r="D306" s="377"/>
      <c r="E306" s="378"/>
      <c r="F306" s="402" t="s">
        <v>370</v>
      </c>
      <c r="G306" s="403"/>
      <c r="H306" s="403"/>
      <c r="I306" s="403"/>
      <c r="J306" s="374" t="s">
        <v>371</v>
      </c>
      <c r="K306" s="374"/>
      <c r="L306" s="374"/>
      <c r="M306" s="374"/>
      <c r="N306" s="374"/>
      <c r="O306" s="374"/>
      <c r="P306" s="374"/>
      <c r="Q306" s="374"/>
      <c r="R306" s="374"/>
      <c r="S306" s="374"/>
      <c r="T306" s="374"/>
      <c r="U306" s="374"/>
      <c r="V306" s="374"/>
      <c r="W306" s="374"/>
      <c r="X306" s="374"/>
      <c r="Y306" s="374"/>
      <c r="Z306" s="374"/>
      <c r="AA306" s="374"/>
      <c r="AB306" s="374"/>
      <c r="AC306" s="374"/>
      <c r="AD306" s="374"/>
      <c r="AE306" s="387"/>
      <c r="AF306" s="369" t="s">
        <v>668</v>
      </c>
      <c r="AG306" s="370"/>
      <c r="AH306" s="370"/>
      <c r="AI306" s="371"/>
      <c r="AJ306" s="370" t="s">
        <v>669</v>
      </c>
      <c r="AK306" s="370"/>
      <c r="AL306" s="370"/>
      <c r="AM306" s="370"/>
      <c r="AN306" s="369"/>
      <c r="AO306" s="370"/>
      <c r="AP306" s="370"/>
      <c r="AQ306" s="371"/>
      <c r="AR306" s="24"/>
      <c r="AS306" s="65">
        <v>1400000</v>
      </c>
      <c r="AT306" s="55">
        <v>800000</v>
      </c>
      <c r="AU306" s="55">
        <f>-3419/3419*843500</f>
        <v>-843500</v>
      </c>
      <c r="AV306" s="56">
        <f t="shared" si="20"/>
        <v>-43500</v>
      </c>
      <c r="AW306" s="32"/>
      <c r="AX306" s="28"/>
      <c r="AY306" s="29">
        <f t="shared" si="21"/>
        <v>43500</v>
      </c>
      <c r="AZ306" s="25"/>
      <c r="BA306" s="30">
        <f>1400000*0</f>
        <v>0</v>
      </c>
    </row>
    <row r="307" spans="1:53" s="2" customFormat="1" ht="12.75">
      <c r="A307" s="395"/>
      <c r="B307" s="382" t="s">
        <v>103</v>
      </c>
      <c r="C307" s="383"/>
      <c r="D307" s="383"/>
      <c r="E307" s="384"/>
      <c r="F307" s="396" t="s">
        <v>119</v>
      </c>
      <c r="G307" s="385"/>
      <c r="H307" s="385"/>
      <c r="I307" s="385"/>
      <c r="J307" s="385"/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97"/>
      <c r="AF307" s="389" t="s">
        <v>670</v>
      </c>
      <c r="AG307" s="390"/>
      <c r="AH307" s="390"/>
      <c r="AI307" s="391"/>
      <c r="AJ307" s="390" t="s">
        <v>671</v>
      </c>
      <c r="AK307" s="390"/>
      <c r="AL307" s="390"/>
      <c r="AM307" s="390"/>
      <c r="AN307" s="389" t="s">
        <v>672</v>
      </c>
      <c r="AO307" s="390"/>
      <c r="AP307" s="390"/>
      <c r="AQ307" s="391"/>
      <c r="AR307" s="43"/>
      <c r="AS307" s="64">
        <f>SUM(AS262:AS306)</f>
        <v>48698000</v>
      </c>
      <c r="AT307" s="57">
        <f>SUM(AT262:AT306)</f>
        <v>49154200</v>
      </c>
      <c r="AU307" s="57">
        <f>SUM(AU262:AU306)+2450600+635000</f>
        <v>-986100</v>
      </c>
      <c r="AV307" s="57">
        <f>SUM(AV262:AV306)</f>
        <v>45082500</v>
      </c>
      <c r="AW307" s="33">
        <f>AV307-AT307</f>
        <v>-4071700</v>
      </c>
      <c r="AX307" s="34">
        <f>SUM(AX262:AX306)</f>
        <v>37432840.02</v>
      </c>
      <c r="AY307" s="35">
        <f>SUM(AY262:AY306)</f>
        <v>-7546659.98</v>
      </c>
      <c r="AZ307" s="44"/>
      <c r="BA307" s="36">
        <f>SUM(BA262:BA306)</f>
        <v>46783000</v>
      </c>
    </row>
    <row r="308" spans="1:53" ht="12.75" hidden="1">
      <c r="A308" s="395"/>
      <c r="B308" s="376" t="s">
        <v>122</v>
      </c>
      <c r="C308" s="377"/>
      <c r="D308" s="377"/>
      <c r="E308" s="378"/>
      <c r="F308" s="379" t="s">
        <v>467</v>
      </c>
      <c r="G308" s="380"/>
      <c r="H308" s="380"/>
      <c r="I308" s="380"/>
      <c r="J308" s="374" t="s">
        <v>468</v>
      </c>
      <c r="K308" s="374"/>
      <c r="L308" s="374"/>
      <c r="M308" s="374"/>
      <c r="N308" s="374"/>
      <c r="O308" s="374"/>
      <c r="P308" s="374"/>
      <c r="Q308" s="374"/>
      <c r="R308" s="374"/>
      <c r="S308" s="374"/>
      <c r="T308" s="374"/>
      <c r="U308" s="374"/>
      <c r="V308" s="374"/>
      <c r="W308" s="374"/>
      <c r="X308" s="374"/>
      <c r="Y308" s="374"/>
      <c r="Z308" s="374"/>
      <c r="AA308" s="374"/>
      <c r="AB308" s="374"/>
      <c r="AC308" s="374"/>
      <c r="AD308" s="374"/>
      <c r="AE308" s="387"/>
      <c r="AF308" s="369"/>
      <c r="AG308" s="370"/>
      <c r="AH308" s="370"/>
      <c r="AI308" s="371"/>
      <c r="AJ308" s="370"/>
      <c r="AK308" s="370"/>
      <c r="AL308" s="370"/>
      <c r="AM308" s="370"/>
      <c r="AN308" s="369" t="s">
        <v>673</v>
      </c>
      <c r="AO308" s="370"/>
      <c r="AP308" s="370"/>
      <c r="AQ308" s="371"/>
      <c r="AR308" s="24"/>
      <c r="AS308" s="65"/>
      <c r="AT308" s="55"/>
      <c r="AU308" s="55"/>
      <c r="AV308" s="55"/>
      <c r="AW308" s="27"/>
      <c r="AX308" s="28">
        <v>478.5</v>
      </c>
      <c r="AY308" s="29">
        <f>AX308-AV308</f>
        <v>478.5</v>
      </c>
      <c r="AZ308" s="25"/>
      <c r="BA308" s="30"/>
    </row>
    <row r="309" spans="1:53" s="2" customFormat="1" ht="12.75">
      <c r="A309" s="395"/>
      <c r="B309" s="382" t="s">
        <v>122</v>
      </c>
      <c r="C309" s="383"/>
      <c r="D309" s="383"/>
      <c r="E309" s="384"/>
      <c r="F309" s="396" t="s">
        <v>127</v>
      </c>
      <c r="G309" s="385"/>
      <c r="H309" s="385"/>
      <c r="I309" s="385"/>
      <c r="J309" s="385"/>
      <c r="K309" s="385"/>
      <c r="L309" s="385"/>
      <c r="M309" s="385"/>
      <c r="N309" s="385"/>
      <c r="O309" s="385"/>
      <c r="P309" s="385"/>
      <c r="Q309" s="385"/>
      <c r="R309" s="385"/>
      <c r="S309" s="385"/>
      <c r="T309" s="385"/>
      <c r="U309" s="385"/>
      <c r="V309" s="385"/>
      <c r="W309" s="385"/>
      <c r="X309" s="385"/>
      <c r="Y309" s="385"/>
      <c r="Z309" s="385"/>
      <c r="AA309" s="385"/>
      <c r="AB309" s="385"/>
      <c r="AC309" s="385"/>
      <c r="AD309" s="385"/>
      <c r="AE309" s="397"/>
      <c r="AF309" s="389"/>
      <c r="AG309" s="390"/>
      <c r="AH309" s="390"/>
      <c r="AI309" s="391"/>
      <c r="AJ309" s="390"/>
      <c r="AK309" s="390"/>
      <c r="AL309" s="390"/>
      <c r="AM309" s="390"/>
      <c r="AN309" s="389" t="s">
        <v>673</v>
      </c>
      <c r="AO309" s="390"/>
      <c r="AP309" s="390"/>
      <c r="AQ309" s="391"/>
      <c r="AR309" s="43"/>
      <c r="AS309" s="64">
        <f>AS308</f>
        <v>0</v>
      </c>
      <c r="AT309" s="57">
        <f>AT308</f>
        <v>0</v>
      </c>
      <c r="AU309" s="57"/>
      <c r="AV309" s="57">
        <f>AV308</f>
        <v>0</v>
      </c>
      <c r="AW309" s="33"/>
      <c r="AX309" s="34">
        <f>AX308</f>
        <v>478.5</v>
      </c>
      <c r="AY309" s="35">
        <f>AY308</f>
        <v>478.5</v>
      </c>
      <c r="AZ309" s="44"/>
      <c r="BA309" s="36">
        <f>BA308</f>
        <v>0</v>
      </c>
    </row>
    <row r="310" spans="1:53" ht="12.75" hidden="1">
      <c r="A310" s="22"/>
      <c r="B310" s="376" t="s">
        <v>674</v>
      </c>
      <c r="C310" s="377"/>
      <c r="D310" s="377"/>
      <c r="E310" s="378"/>
      <c r="F310" s="379" t="s">
        <v>675</v>
      </c>
      <c r="G310" s="380"/>
      <c r="H310" s="380"/>
      <c r="I310" s="380"/>
      <c r="J310" s="374" t="s">
        <v>676</v>
      </c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  <c r="U310" s="374"/>
      <c r="V310" s="374"/>
      <c r="W310" s="374"/>
      <c r="X310" s="374"/>
      <c r="Y310" s="374"/>
      <c r="Z310" s="374"/>
      <c r="AA310" s="374"/>
      <c r="AB310" s="374"/>
      <c r="AC310" s="374"/>
      <c r="AD310" s="374"/>
      <c r="AE310" s="387"/>
      <c r="AF310" s="369" t="s">
        <v>677</v>
      </c>
      <c r="AG310" s="370"/>
      <c r="AH310" s="370"/>
      <c r="AI310" s="371"/>
      <c r="AJ310" s="370" t="s">
        <v>677</v>
      </c>
      <c r="AK310" s="370"/>
      <c r="AL310" s="370"/>
      <c r="AM310" s="370"/>
      <c r="AN310" s="369" t="s">
        <v>678</v>
      </c>
      <c r="AO310" s="370"/>
      <c r="AP310" s="370"/>
      <c r="AQ310" s="371"/>
      <c r="AR310" s="24"/>
      <c r="AS310" s="65">
        <f>1048000*0</f>
        <v>0</v>
      </c>
      <c r="AT310" s="55">
        <f>1048000*0</f>
        <v>0</v>
      </c>
      <c r="AU310" s="55"/>
      <c r="AV310" s="56">
        <f>AT310+AU310</f>
        <v>0</v>
      </c>
      <c r="AW310" s="32"/>
      <c r="AX310" s="28">
        <v>721140</v>
      </c>
      <c r="AY310" s="29">
        <f>AX310-AV310</f>
        <v>721140</v>
      </c>
      <c r="AZ310" s="25"/>
      <c r="BA310" s="30">
        <f>1048000-1048000</f>
        <v>0</v>
      </c>
    </row>
    <row r="311" spans="1:53" ht="12.75" hidden="1">
      <c r="A311" s="22"/>
      <c r="B311" s="376" t="s">
        <v>674</v>
      </c>
      <c r="C311" s="377"/>
      <c r="D311" s="377"/>
      <c r="E311" s="378"/>
      <c r="F311" s="379" t="s">
        <v>679</v>
      </c>
      <c r="G311" s="380"/>
      <c r="H311" s="380"/>
      <c r="I311" s="380"/>
      <c r="J311" s="374" t="s">
        <v>680</v>
      </c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  <c r="V311" s="374"/>
      <c r="W311" s="374"/>
      <c r="X311" s="374"/>
      <c r="Y311" s="374"/>
      <c r="Z311" s="374"/>
      <c r="AA311" s="374"/>
      <c r="AB311" s="374"/>
      <c r="AC311" s="374"/>
      <c r="AD311" s="374"/>
      <c r="AE311" s="387"/>
      <c r="AF311" s="369" t="s">
        <v>681</v>
      </c>
      <c r="AG311" s="370"/>
      <c r="AH311" s="370"/>
      <c r="AI311" s="371"/>
      <c r="AJ311" s="370" t="s">
        <v>681</v>
      </c>
      <c r="AK311" s="370"/>
      <c r="AL311" s="370"/>
      <c r="AM311" s="370"/>
      <c r="AN311" s="369" t="s">
        <v>682</v>
      </c>
      <c r="AO311" s="370"/>
      <c r="AP311" s="370"/>
      <c r="AQ311" s="371"/>
      <c r="AR311" s="24"/>
      <c r="AS311" s="65">
        <f>90001000*0</f>
        <v>0</v>
      </c>
      <c r="AT311" s="55">
        <f>90001000*0</f>
        <v>0</v>
      </c>
      <c r="AU311" s="55"/>
      <c r="AV311" s="56">
        <f>AT311+AU311</f>
        <v>0</v>
      </c>
      <c r="AW311" s="32"/>
      <c r="AX311" s="28">
        <f>69146939.34*0</f>
        <v>0</v>
      </c>
      <c r="AY311" s="29">
        <f>AX311-AV311</f>
        <v>0</v>
      </c>
      <c r="AZ311" s="25"/>
      <c r="BA311" s="30">
        <f>90001000*0</f>
        <v>0</v>
      </c>
    </row>
    <row r="312" spans="1:53" s="2" customFormat="1" ht="12.75">
      <c r="A312" s="45"/>
      <c r="B312" s="382" t="s">
        <v>674</v>
      </c>
      <c r="C312" s="383"/>
      <c r="D312" s="383"/>
      <c r="E312" s="384"/>
      <c r="F312" s="396" t="s">
        <v>683</v>
      </c>
      <c r="G312" s="385"/>
      <c r="H312" s="385"/>
      <c r="I312" s="385"/>
      <c r="J312" s="385"/>
      <c r="K312" s="385"/>
      <c r="L312" s="385"/>
      <c r="M312" s="385"/>
      <c r="N312" s="385"/>
      <c r="O312" s="385"/>
      <c r="P312" s="385"/>
      <c r="Q312" s="385"/>
      <c r="R312" s="385"/>
      <c r="S312" s="385"/>
      <c r="T312" s="385"/>
      <c r="U312" s="385"/>
      <c r="V312" s="385"/>
      <c r="W312" s="385"/>
      <c r="X312" s="385"/>
      <c r="Y312" s="385"/>
      <c r="Z312" s="385"/>
      <c r="AA312" s="385"/>
      <c r="AB312" s="385"/>
      <c r="AC312" s="385"/>
      <c r="AD312" s="385"/>
      <c r="AE312" s="397"/>
      <c r="AF312" s="389" t="s">
        <v>73</v>
      </c>
      <c r="AG312" s="390"/>
      <c r="AH312" s="390"/>
      <c r="AI312" s="391"/>
      <c r="AJ312" s="390" t="s">
        <v>73</v>
      </c>
      <c r="AK312" s="390"/>
      <c r="AL312" s="390"/>
      <c r="AM312" s="390"/>
      <c r="AN312" s="389" t="s">
        <v>684</v>
      </c>
      <c r="AO312" s="390"/>
      <c r="AP312" s="390"/>
      <c r="AQ312" s="391"/>
      <c r="AR312" s="43"/>
      <c r="AS312" s="64">
        <f>SUM(AS310:AS311)</f>
        <v>0</v>
      </c>
      <c r="AT312" s="57">
        <f>SUM(AT310:AT311)</f>
        <v>0</v>
      </c>
      <c r="AU312" s="57"/>
      <c r="AV312" s="57">
        <f>SUM(AV310:AV311)</f>
        <v>0</v>
      </c>
      <c r="AW312" s="33"/>
      <c r="AX312" s="34">
        <f>SUM(AX310:AX311)</f>
        <v>721140</v>
      </c>
      <c r="AY312" s="35">
        <f>SUM(AY310:AY311)</f>
        <v>721140</v>
      </c>
      <c r="AZ312" s="44"/>
      <c r="BA312" s="36">
        <f>SUM(BA310:BA311)</f>
        <v>0</v>
      </c>
    </row>
    <row r="313" spans="1:53" s="8" customFormat="1" ht="12.75">
      <c r="A313" s="37"/>
      <c r="B313" s="388" t="s">
        <v>685</v>
      </c>
      <c r="C313" s="388"/>
      <c r="D313" s="388"/>
      <c r="E313" s="388"/>
      <c r="F313" s="388"/>
      <c r="G313" s="388"/>
      <c r="H313" s="388"/>
      <c r="I313" s="388"/>
      <c r="J313" s="388"/>
      <c r="K313" s="388"/>
      <c r="L313" s="388"/>
      <c r="M313" s="388"/>
      <c r="N313" s="388"/>
      <c r="O313" s="388"/>
      <c r="P313" s="388"/>
      <c r="Q313" s="388"/>
      <c r="R313" s="388"/>
      <c r="S313" s="388"/>
      <c r="T313" s="388"/>
      <c r="U313" s="388"/>
      <c r="V313" s="388"/>
      <c r="W313" s="388"/>
      <c r="X313" s="388"/>
      <c r="Y313" s="388"/>
      <c r="Z313" s="388"/>
      <c r="AA313" s="388"/>
      <c r="AB313" s="388"/>
      <c r="AC313" s="388"/>
      <c r="AD313" s="388"/>
      <c r="AE313" s="388"/>
      <c r="AF313" s="389" t="s">
        <v>138</v>
      </c>
      <c r="AG313" s="390"/>
      <c r="AH313" s="390"/>
      <c r="AI313" s="391"/>
      <c r="AJ313" s="390" t="s">
        <v>686</v>
      </c>
      <c r="AK313" s="390"/>
      <c r="AL313" s="390"/>
      <c r="AM313" s="390"/>
      <c r="AN313" s="389" t="s">
        <v>687</v>
      </c>
      <c r="AO313" s="390"/>
      <c r="AP313" s="390"/>
      <c r="AQ313" s="391"/>
      <c r="AR313" s="38"/>
      <c r="AS313" s="64">
        <f>SUM(AS54:AS312)/2</f>
        <v>85570000</v>
      </c>
      <c r="AT313" s="57">
        <f>SUM(AT54:AT312)/2</f>
        <v>100705700</v>
      </c>
      <c r="AU313" s="57">
        <f>SUM(AU54:AU312)</f>
        <v>-5525000</v>
      </c>
      <c r="AV313" s="57">
        <f>SUM(AV54:AV312)/2</f>
        <v>96166800</v>
      </c>
      <c r="AW313" s="33">
        <f>AV313-AT313</f>
        <v>-4538900</v>
      </c>
      <c r="AX313" s="34">
        <f>SUM(AX54:AX312)/2</f>
        <v>82695231.83</v>
      </c>
      <c r="AY313" s="35">
        <f>SUM(AY54:AY312)/2</f>
        <v>-13264827.969999995</v>
      </c>
      <c r="AZ313" s="25"/>
      <c r="BA313" s="36">
        <f>SUM(BA54:BA312)/2</f>
        <v>84178000</v>
      </c>
    </row>
    <row r="314" spans="1:53" s="8" customFormat="1" ht="13.5" thickBot="1">
      <c r="A314" s="46"/>
      <c r="B314" s="412" t="s">
        <v>688</v>
      </c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  <c r="O314" s="412"/>
      <c r="P314" s="412"/>
      <c r="Q314" s="412"/>
      <c r="R314" s="412"/>
      <c r="S314" s="412"/>
      <c r="T314" s="412"/>
      <c r="U314" s="412"/>
      <c r="V314" s="412"/>
      <c r="W314" s="412"/>
      <c r="X314" s="412"/>
      <c r="Y314" s="412"/>
      <c r="Z314" s="412"/>
      <c r="AA314" s="412"/>
      <c r="AB314" s="412"/>
      <c r="AC314" s="412"/>
      <c r="AD314" s="412"/>
      <c r="AE314" s="412"/>
      <c r="AF314" s="412"/>
      <c r="AG314" s="412"/>
      <c r="AH314" s="412"/>
      <c r="AI314" s="412"/>
      <c r="AJ314" s="412"/>
      <c r="AK314" s="412"/>
      <c r="AL314" s="412"/>
      <c r="AM314" s="412"/>
      <c r="AN314" s="412"/>
      <c r="AO314" s="412"/>
      <c r="AP314" s="412"/>
      <c r="AQ314" s="412"/>
      <c r="AR314" s="47"/>
      <c r="AS314" s="68">
        <f>AS49-AS313</f>
        <v>0</v>
      </c>
      <c r="AT314" s="48">
        <f>AT49-AT313</f>
        <v>59500</v>
      </c>
      <c r="AU314" s="48"/>
      <c r="AV314" s="48">
        <f>AV49-AV313</f>
        <v>0</v>
      </c>
      <c r="AW314" s="48"/>
      <c r="AX314" s="49">
        <f>AX49-AX313</f>
        <v>-7192457.340000004</v>
      </c>
      <c r="AY314" s="50">
        <f>AY49-AY313</f>
        <v>-7338893.539999999</v>
      </c>
      <c r="AZ314" s="51"/>
      <c r="BA314" s="52">
        <f>BA49-BA313</f>
        <v>0</v>
      </c>
    </row>
    <row r="315" spans="2:53" s="11" customFormat="1" ht="12.75">
      <c r="B315" s="12"/>
      <c r="C315" s="12"/>
      <c r="D315" s="12"/>
      <c r="E315" s="12"/>
      <c r="F315" s="12"/>
      <c r="G315" s="12"/>
      <c r="H315" s="12"/>
      <c r="I315" s="12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</row>
    <row r="316" spans="2:53" s="11" customFormat="1" ht="12.75">
      <c r="B316" s="12"/>
      <c r="C316" s="12"/>
      <c r="D316" s="12"/>
      <c r="E316" s="12"/>
      <c r="F316" s="12"/>
      <c r="G316" s="12"/>
      <c r="H316" s="12"/>
      <c r="I316" s="12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</row>
    <row r="317" spans="2:53" s="11" customFormat="1" ht="12.75">
      <c r="B317" s="12"/>
      <c r="C317" s="12"/>
      <c r="D317" s="12"/>
      <c r="E317" s="12"/>
      <c r="F317" s="12"/>
      <c r="G317" s="12"/>
      <c r="H317" s="12"/>
      <c r="I317" s="12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</row>
    <row r="318" spans="2:53" s="11" customFormat="1" ht="12.75">
      <c r="B318" s="12"/>
      <c r="C318" s="12"/>
      <c r="D318" s="12"/>
      <c r="E318" s="12"/>
      <c r="F318" s="12"/>
      <c r="G318" s="12"/>
      <c r="H318" s="12"/>
      <c r="I318" s="12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</row>
    <row r="319" spans="2:53" s="11" customFormat="1" ht="12.75">
      <c r="B319" s="12"/>
      <c r="C319" s="12"/>
      <c r="D319" s="12"/>
      <c r="E319" s="12"/>
      <c r="F319" s="12"/>
      <c r="G319" s="12"/>
      <c r="H319" s="12"/>
      <c r="I319" s="12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</row>
  </sheetData>
  <sheetProtection password="CC4F" sheet="1" objects="1" scenarios="1"/>
  <mergeCells count="1768">
    <mergeCell ref="AF312:AI312"/>
    <mergeCell ref="AJ312:AM312"/>
    <mergeCell ref="B310:E310"/>
    <mergeCell ref="F310:I310"/>
    <mergeCell ref="B314:AQ314"/>
    <mergeCell ref="AN312:AQ312"/>
    <mergeCell ref="B313:AE313"/>
    <mergeCell ref="AF313:AI313"/>
    <mergeCell ref="AJ313:AM313"/>
    <mergeCell ref="AN313:AQ313"/>
    <mergeCell ref="B312:E312"/>
    <mergeCell ref="F312:AE312"/>
    <mergeCell ref="B311:E311"/>
    <mergeCell ref="F311:I311"/>
    <mergeCell ref="J311:AE311"/>
    <mergeCell ref="AF311:AI311"/>
    <mergeCell ref="AJ311:AM311"/>
    <mergeCell ref="AN311:AQ311"/>
    <mergeCell ref="AJ309:AM309"/>
    <mergeCell ref="J310:AE310"/>
    <mergeCell ref="AF310:AI310"/>
    <mergeCell ref="AJ308:AM308"/>
    <mergeCell ref="AN308:AQ308"/>
    <mergeCell ref="AN309:AQ309"/>
    <mergeCell ref="AJ310:AM310"/>
    <mergeCell ref="AN310:AQ310"/>
    <mergeCell ref="B308:E308"/>
    <mergeCell ref="F308:I308"/>
    <mergeCell ref="J308:AE308"/>
    <mergeCell ref="AF308:AI308"/>
    <mergeCell ref="B309:E309"/>
    <mergeCell ref="F309:AE309"/>
    <mergeCell ref="AF309:AI309"/>
    <mergeCell ref="AN306:AQ306"/>
    <mergeCell ref="B307:E307"/>
    <mergeCell ref="F307:AE307"/>
    <mergeCell ref="AF307:AI307"/>
    <mergeCell ref="AJ307:AM307"/>
    <mergeCell ref="AN307:AQ307"/>
    <mergeCell ref="B306:E306"/>
    <mergeCell ref="F306:I306"/>
    <mergeCell ref="J306:AE306"/>
    <mergeCell ref="AN304:AQ304"/>
    <mergeCell ref="B305:E305"/>
    <mergeCell ref="F305:I305"/>
    <mergeCell ref="J305:AE305"/>
    <mergeCell ref="AF305:AI305"/>
    <mergeCell ref="AJ305:AM305"/>
    <mergeCell ref="AN305:AQ305"/>
    <mergeCell ref="B304:E304"/>
    <mergeCell ref="F304:I304"/>
    <mergeCell ref="J304:AE304"/>
    <mergeCell ref="AF304:AI304"/>
    <mergeCell ref="AJ302:AM302"/>
    <mergeCell ref="AF302:AI302"/>
    <mergeCell ref="AF306:AI306"/>
    <mergeCell ref="AJ304:AM304"/>
    <mergeCell ref="AJ306:AM306"/>
    <mergeCell ref="AN302:AQ302"/>
    <mergeCell ref="B303:E303"/>
    <mergeCell ref="F303:I303"/>
    <mergeCell ref="J303:AE303"/>
    <mergeCell ref="AF303:AI303"/>
    <mergeCell ref="AJ303:AM303"/>
    <mergeCell ref="AN303:AQ303"/>
    <mergeCell ref="B302:E302"/>
    <mergeCell ref="F302:I302"/>
    <mergeCell ref="J302:AE302"/>
    <mergeCell ref="B301:E301"/>
    <mergeCell ref="F301:I301"/>
    <mergeCell ref="J301:AE301"/>
    <mergeCell ref="AF301:AI301"/>
    <mergeCell ref="AJ301:AM301"/>
    <mergeCell ref="AN301:AQ301"/>
    <mergeCell ref="AJ298:AM298"/>
    <mergeCell ref="AN298:AQ298"/>
    <mergeCell ref="AJ299:AM299"/>
    <mergeCell ref="AN299:AQ299"/>
    <mergeCell ref="AJ300:AM300"/>
    <mergeCell ref="AN300:AQ300"/>
    <mergeCell ref="B299:E299"/>
    <mergeCell ref="F299:I299"/>
    <mergeCell ref="J299:AE299"/>
    <mergeCell ref="AF299:AI299"/>
    <mergeCell ref="J300:AE300"/>
    <mergeCell ref="AF300:AI300"/>
    <mergeCell ref="B300:E300"/>
    <mergeCell ref="F300:I300"/>
    <mergeCell ref="B296:E296"/>
    <mergeCell ref="F296:I296"/>
    <mergeCell ref="B298:E298"/>
    <mergeCell ref="F298:I298"/>
    <mergeCell ref="J298:AE298"/>
    <mergeCell ref="AF298:AI298"/>
    <mergeCell ref="B297:E297"/>
    <mergeCell ref="F297:I297"/>
    <mergeCell ref="J297:AE297"/>
    <mergeCell ref="AF297:AI297"/>
    <mergeCell ref="AJ297:AM297"/>
    <mergeCell ref="AN297:AQ297"/>
    <mergeCell ref="J296:AE296"/>
    <mergeCell ref="AF296:AI296"/>
    <mergeCell ref="AJ294:AM294"/>
    <mergeCell ref="AN294:AQ294"/>
    <mergeCell ref="AJ295:AM295"/>
    <mergeCell ref="AN295:AQ295"/>
    <mergeCell ref="AJ296:AM296"/>
    <mergeCell ref="AN296:AQ296"/>
    <mergeCell ref="B294:E294"/>
    <mergeCell ref="F294:I294"/>
    <mergeCell ref="J294:AE294"/>
    <mergeCell ref="AF294:AI294"/>
    <mergeCell ref="B295:E295"/>
    <mergeCell ref="F295:I295"/>
    <mergeCell ref="J295:AE295"/>
    <mergeCell ref="AF295:AI295"/>
    <mergeCell ref="B293:E293"/>
    <mergeCell ref="F293:I293"/>
    <mergeCell ref="J293:AE293"/>
    <mergeCell ref="AF293:AI293"/>
    <mergeCell ref="AJ293:AM293"/>
    <mergeCell ref="AN293:AQ293"/>
    <mergeCell ref="AJ290:AM290"/>
    <mergeCell ref="AN290:AQ290"/>
    <mergeCell ref="AJ291:AM291"/>
    <mergeCell ref="AN291:AQ291"/>
    <mergeCell ref="AJ292:AM292"/>
    <mergeCell ref="AN292:AQ292"/>
    <mergeCell ref="B291:E291"/>
    <mergeCell ref="F291:I291"/>
    <mergeCell ref="J291:AE291"/>
    <mergeCell ref="AF291:AI291"/>
    <mergeCell ref="J292:AE292"/>
    <mergeCell ref="AF292:AI292"/>
    <mergeCell ref="B292:E292"/>
    <mergeCell ref="F292:I292"/>
    <mergeCell ref="B288:E288"/>
    <mergeCell ref="F288:I288"/>
    <mergeCell ref="B290:E290"/>
    <mergeCell ref="F290:I290"/>
    <mergeCell ref="J290:AE290"/>
    <mergeCell ref="AF290:AI290"/>
    <mergeCell ref="B289:E289"/>
    <mergeCell ref="F289:I289"/>
    <mergeCell ref="J289:AE289"/>
    <mergeCell ref="AF289:AI289"/>
    <mergeCell ref="AJ289:AM289"/>
    <mergeCell ref="AN289:AQ289"/>
    <mergeCell ref="J288:AE288"/>
    <mergeCell ref="AF288:AI288"/>
    <mergeCell ref="AJ286:AM286"/>
    <mergeCell ref="AN286:AQ286"/>
    <mergeCell ref="AJ287:AM287"/>
    <mergeCell ref="AN287:AQ287"/>
    <mergeCell ref="AJ288:AM288"/>
    <mergeCell ref="AN288:AQ288"/>
    <mergeCell ref="B286:E286"/>
    <mergeCell ref="F286:I286"/>
    <mergeCell ref="J286:AE286"/>
    <mergeCell ref="AF286:AI286"/>
    <mergeCell ref="B287:E287"/>
    <mergeCell ref="F287:I287"/>
    <mergeCell ref="J287:AE287"/>
    <mergeCell ref="AF287:AI287"/>
    <mergeCell ref="AJ284:AM284"/>
    <mergeCell ref="AN284:AQ284"/>
    <mergeCell ref="B285:E285"/>
    <mergeCell ref="F285:I285"/>
    <mergeCell ref="J285:AE285"/>
    <mergeCell ref="B284:E284"/>
    <mergeCell ref="F284:I284"/>
    <mergeCell ref="J284:AE284"/>
    <mergeCell ref="AF284:AI284"/>
    <mergeCell ref="B283:E283"/>
    <mergeCell ref="F283:I283"/>
    <mergeCell ref="J283:AE283"/>
    <mergeCell ref="AF283:AI283"/>
    <mergeCell ref="AJ283:AM283"/>
    <mergeCell ref="AN283:AQ283"/>
    <mergeCell ref="AJ280:AM280"/>
    <mergeCell ref="AN280:AQ280"/>
    <mergeCell ref="AJ281:AM281"/>
    <mergeCell ref="AN281:AQ281"/>
    <mergeCell ref="AJ282:AM282"/>
    <mergeCell ref="AN282:AQ282"/>
    <mergeCell ref="B281:E281"/>
    <mergeCell ref="F281:I281"/>
    <mergeCell ref="J281:AE281"/>
    <mergeCell ref="AF281:AI281"/>
    <mergeCell ref="J282:AE282"/>
    <mergeCell ref="AF282:AI282"/>
    <mergeCell ref="B282:E282"/>
    <mergeCell ref="F282:I282"/>
    <mergeCell ref="B278:E278"/>
    <mergeCell ref="F278:I278"/>
    <mergeCell ref="B280:E280"/>
    <mergeCell ref="F280:I280"/>
    <mergeCell ref="J280:AE280"/>
    <mergeCell ref="AF280:AI280"/>
    <mergeCell ref="B279:E279"/>
    <mergeCell ref="F279:I279"/>
    <mergeCell ref="J279:AE279"/>
    <mergeCell ref="AF279:AI279"/>
    <mergeCell ref="AJ279:AM279"/>
    <mergeCell ref="AN279:AQ279"/>
    <mergeCell ref="J278:AE278"/>
    <mergeCell ref="AF278:AI278"/>
    <mergeCell ref="AJ276:AM276"/>
    <mergeCell ref="AN276:AQ276"/>
    <mergeCell ref="AJ277:AM277"/>
    <mergeCell ref="AN277:AQ277"/>
    <mergeCell ref="AJ278:AM278"/>
    <mergeCell ref="AN278:AQ278"/>
    <mergeCell ref="B276:E276"/>
    <mergeCell ref="F276:I276"/>
    <mergeCell ref="J276:AE276"/>
    <mergeCell ref="AF276:AI276"/>
    <mergeCell ref="B277:E277"/>
    <mergeCell ref="F277:I277"/>
    <mergeCell ref="J277:AE277"/>
    <mergeCell ref="AF277:AI277"/>
    <mergeCell ref="B275:E275"/>
    <mergeCell ref="F275:I275"/>
    <mergeCell ref="J275:AE275"/>
    <mergeCell ref="AF275:AI275"/>
    <mergeCell ref="AJ275:AM275"/>
    <mergeCell ref="AN275:AQ275"/>
    <mergeCell ref="AJ272:AM272"/>
    <mergeCell ref="AN272:AQ272"/>
    <mergeCell ref="AJ273:AM273"/>
    <mergeCell ref="AN273:AQ273"/>
    <mergeCell ref="AJ274:AM274"/>
    <mergeCell ref="AN274:AQ274"/>
    <mergeCell ref="B273:E273"/>
    <mergeCell ref="F273:I273"/>
    <mergeCell ref="J273:AE273"/>
    <mergeCell ref="AF273:AI273"/>
    <mergeCell ref="J274:AE274"/>
    <mergeCell ref="AF274:AI274"/>
    <mergeCell ref="B274:E274"/>
    <mergeCell ref="F274:I274"/>
    <mergeCell ref="B270:E270"/>
    <mergeCell ref="F270:I270"/>
    <mergeCell ref="B272:E272"/>
    <mergeCell ref="F272:I272"/>
    <mergeCell ref="J272:AE272"/>
    <mergeCell ref="AF272:AI272"/>
    <mergeCell ref="B271:E271"/>
    <mergeCell ref="F271:I271"/>
    <mergeCell ref="J271:AE271"/>
    <mergeCell ref="AF271:AI271"/>
    <mergeCell ref="AJ271:AM271"/>
    <mergeCell ref="AN271:AQ271"/>
    <mergeCell ref="J270:AE270"/>
    <mergeCell ref="AF270:AI270"/>
    <mergeCell ref="AJ268:AM268"/>
    <mergeCell ref="AN268:AQ268"/>
    <mergeCell ref="AJ269:AM269"/>
    <mergeCell ref="AN269:AQ269"/>
    <mergeCell ref="AJ270:AM270"/>
    <mergeCell ref="AN270:AQ270"/>
    <mergeCell ref="B268:E268"/>
    <mergeCell ref="F268:I268"/>
    <mergeCell ref="J268:AE268"/>
    <mergeCell ref="AF268:AI268"/>
    <mergeCell ref="B269:E269"/>
    <mergeCell ref="F269:I269"/>
    <mergeCell ref="J269:AE269"/>
    <mergeCell ref="AF269:AI269"/>
    <mergeCell ref="AJ265:AM265"/>
    <mergeCell ref="AN265:AQ265"/>
    <mergeCell ref="AJ266:AM266"/>
    <mergeCell ref="AN266:AQ266"/>
    <mergeCell ref="B267:E267"/>
    <mergeCell ref="F267:I267"/>
    <mergeCell ref="J267:AE267"/>
    <mergeCell ref="AF267:AI267"/>
    <mergeCell ref="AJ267:AM267"/>
    <mergeCell ref="AN267:AQ267"/>
    <mergeCell ref="B265:E265"/>
    <mergeCell ref="F265:I265"/>
    <mergeCell ref="J265:AE265"/>
    <mergeCell ref="AF265:AI265"/>
    <mergeCell ref="J266:AE266"/>
    <mergeCell ref="AF266:AI266"/>
    <mergeCell ref="B266:E266"/>
    <mergeCell ref="F266:I266"/>
    <mergeCell ref="AN263:AQ263"/>
    <mergeCell ref="B262:E262"/>
    <mergeCell ref="F262:I262"/>
    <mergeCell ref="B264:E264"/>
    <mergeCell ref="F264:I264"/>
    <mergeCell ref="J264:AE264"/>
    <mergeCell ref="AF264:AI264"/>
    <mergeCell ref="AJ264:AM264"/>
    <mergeCell ref="AN264:AQ264"/>
    <mergeCell ref="AJ260:AM260"/>
    <mergeCell ref="AN260:AQ260"/>
    <mergeCell ref="AN261:AQ261"/>
    <mergeCell ref="AJ262:AM262"/>
    <mergeCell ref="AN262:AQ262"/>
    <mergeCell ref="B263:E263"/>
    <mergeCell ref="F263:I263"/>
    <mergeCell ref="J263:AE263"/>
    <mergeCell ref="AF263:AI263"/>
    <mergeCell ref="AJ263:AM263"/>
    <mergeCell ref="B261:E261"/>
    <mergeCell ref="F261:AE261"/>
    <mergeCell ref="AF261:AI261"/>
    <mergeCell ref="AJ261:AM261"/>
    <mergeCell ref="J262:AE262"/>
    <mergeCell ref="AF262:AI262"/>
    <mergeCell ref="B258:E258"/>
    <mergeCell ref="F258:I258"/>
    <mergeCell ref="B260:E260"/>
    <mergeCell ref="F260:I260"/>
    <mergeCell ref="J260:AE260"/>
    <mergeCell ref="AF260:AI260"/>
    <mergeCell ref="B259:E259"/>
    <mergeCell ref="F259:I259"/>
    <mergeCell ref="J259:AE259"/>
    <mergeCell ref="AF259:AI259"/>
    <mergeCell ref="AJ259:AM259"/>
    <mergeCell ref="AN259:AQ259"/>
    <mergeCell ref="J258:AE258"/>
    <mergeCell ref="AF258:AI258"/>
    <mergeCell ref="AJ256:AM256"/>
    <mergeCell ref="AN256:AQ256"/>
    <mergeCell ref="AJ257:AM257"/>
    <mergeCell ref="AN257:AQ257"/>
    <mergeCell ref="AJ258:AM258"/>
    <mergeCell ref="AN258:AQ258"/>
    <mergeCell ref="B256:E256"/>
    <mergeCell ref="F256:I256"/>
    <mergeCell ref="J256:AE256"/>
    <mergeCell ref="AF256:AI256"/>
    <mergeCell ref="B257:E257"/>
    <mergeCell ref="F257:I257"/>
    <mergeCell ref="J257:AE257"/>
    <mergeCell ref="AF257:AI257"/>
    <mergeCell ref="AN252:AQ252"/>
    <mergeCell ref="AJ253:AM253"/>
    <mergeCell ref="AN253:AQ253"/>
    <mergeCell ref="AN254:AQ254"/>
    <mergeCell ref="B255:E255"/>
    <mergeCell ref="F255:I255"/>
    <mergeCell ref="J255:AE255"/>
    <mergeCell ref="AF255:AI255"/>
    <mergeCell ref="AJ255:AM255"/>
    <mergeCell ref="AN255:AQ255"/>
    <mergeCell ref="B253:E253"/>
    <mergeCell ref="F253:I253"/>
    <mergeCell ref="J253:AE253"/>
    <mergeCell ref="AF253:AI253"/>
    <mergeCell ref="AJ254:AM254"/>
    <mergeCell ref="AF252:AI252"/>
    <mergeCell ref="AJ252:AM252"/>
    <mergeCell ref="B254:E254"/>
    <mergeCell ref="F254:AE254"/>
    <mergeCell ref="AF254:AI254"/>
    <mergeCell ref="B251:E251"/>
    <mergeCell ref="F251:I251"/>
    <mergeCell ref="J251:AE251"/>
    <mergeCell ref="B252:E252"/>
    <mergeCell ref="F252:I252"/>
    <mergeCell ref="J252:AE252"/>
    <mergeCell ref="AJ249:AM249"/>
    <mergeCell ref="AN249:AQ249"/>
    <mergeCell ref="B250:E250"/>
    <mergeCell ref="F250:I250"/>
    <mergeCell ref="J250:AE250"/>
    <mergeCell ref="B249:E249"/>
    <mergeCell ref="F249:I249"/>
    <mergeCell ref="J249:AE249"/>
    <mergeCell ref="AF249:AI249"/>
    <mergeCell ref="AN247:AQ247"/>
    <mergeCell ref="B248:E248"/>
    <mergeCell ref="F248:AE248"/>
    <mergeCell ref="AF248:AI248"/>
    <mergeCell ref="AJ248:AM248"/>
    <mergeCell ref="AN248:AQ248"/>
    <mergeCell ref="B247:E247"/>
    <mergeCell ref="F247:I247"/>
    <mergeCell ref="J247:AE247"/>
    <mergeCell ref="AN245:AQ245"/>
    <mergeCell ref="B246:E246"/>
    <mergeCell ref="F246:I246"/>
    <mergeCell ref="J246:AE246"/>
    <mergeCell ref="AF246:AI246"/>
    <mergeCell ref="AJ246:AM246"/>
    <mergeCell ref="AN246:AQ246"/>
    <mergeCell ref="B245:E245"/>
    <mergeCell ref="F245:I245"/>
    <mergeCell ref="J245:AE245"/>
    <mergeCell ref="AF245:AI245"/>
    <mergeCell ref="AJ243:AM243"/>
    <mergeCell ref="AF243:AI243"/>
    <mergeCell ref="AF247:AI247"/>
    <mergeCell ref="AJ245:AM245"/>
    <mergeCell ref="AJ247:AM247"/>
    <mergeCell ref="AN243:AQ243"/>
    <mergeCell ref="B244:E244"/>
    <mergeCell ref="F244:I244"/>
    <mergeCell ref="J244:AE244"/>
    <mergeCell ref="AF244:AI244"/>
    <mergeCell ref="AJ244:AM244"/>
    <mergeCell ref="AN244:AQ244"/>
    <mergeCell ref="B243:E243"/>
    <mergeCell ref="F243:I243"/>
    <mergeCell ref="J243:AE243"/>
    <mergeCell ref="AF241:AI241"/>
    <mergeCell ref="AJ241:AM241"/>
    <mergeCell ref="AN241:AQ241"/>
    <mergeCell ref="B242:E242"/>
    <mergeCell ref="F242:I242"/>
    <mergeCell ref="J242:AE242"/>
    <mergeCell ref="AF242:AI242"/>
    <mergeCell ref="AJ242:AM242"/>
    <mergeCell ref="AN242:AQ242"/>
    <mergeCell ref="AF239:AI239"/>
    <mergeCell ref="AJ239:AM239"/>
    <mergeCell ref="AN239:AQ239"/>
    <mergeCell ref="B240:E240"/>
    <mergeCell ref="F240:I240"/>
    <mergeCell ref="J240:AE240"/>
    <mergeCell ref="AF240:AI240"/>
    <mergeCell ref="AJ240:AM240"/>
    <mergeCell ref="AN240:AQ240"/>
    <mergeCell ref="AF237:AI237"/>
    <mergeCell ref="AJ237:AM237"/>
    <mergeCell ref="AN237:AQ237"/>
    <mergeCell ref="B238:E238"/>
    <mergeCell ref="F238:I238"/>
    <mergeCell ref="J238:AE238"/>
    <mergeCell ref="AF238:AI238"/>
    <mergeCell ref="AJ238:AM238"/>
    <mergeCell ref="AN238:AQ238"/>
    <mergeCell ref="A237:A309"/>
    <mergeCell ref="B237:E237"/>
    <mergeCell ref="F237:I237"/>
    <mergeCell ref="J237:AE237"/>
    <mergeCell ref="B239:E239"/>
    <mergeCell ref="F239:I239"/>
    <mergeCell ref="J239:AE239"/>
    <mergeCell ref="B241:E241"/>
    <mergeCell ref="F241:I241"/>
    <mergeCell ref="J241:AE241"/>
    <mergeCell ref="AJ235:AM235"/>
    <mergeCell ref="AN235:AQ235"/>
    <mergeCell ref="B236:E236"/>
    <mergeCell ref="F236:AE236"/>
    <mergeCell ref="AF236:AI236"/>
    <mergeCell ref="AJ236:AM236"/>
    <mergeCell ref="AN236:AQ236"/>
    <mergeCell ref="B235:E235"/>
    <mergeCell ref="F235:I235"/>
    <mergeCell ref="J235:AE235"/>
    <mergeCell ref="AF235:AI235"/>
    <mergeCell ref="AJ233:AM233"/>
    <mergeCell ref="AN233:AQ233"/>
    <mergeCell ref="B234:E234"/>
    <mergeCell ref="F234:I234"/>
    <mergeCell ref="J234:AE234"/>
    <mergeCell ref="AF234:AI234"/>
    <mergeCell ref="AJ234:AM234"/>
    <mergeCell ref="AN234:AQ234"/>
    <mergeCell ref="B233:E233"/>
    <mergeCell ref="F231:I231"/>
    <mergeCell ref="J231:AE231"/>
    <mergeCell ref="F233:I233"/>
    <mergeCell ref="J233:AE233"/>
    <mergeCell ref="AF233:AI233"/>
    <mergeCell ref="AJ231:AM231"/>
    <mergeCell ref="AF231:AI231"/>
    <mergeCell ref="B229:E229"/>
    <mergeCell ref="F229:I229"/>
    <mergeCell ref="AN231:AQ231"/>
    <mergeCell ref="B232:E232"/>
    <mergeCell ref="F232:I232"/>
    <mergeCell ref="J232:AE232"/>
    <mergeCell ref="AF232:AI232"/>
    <mergeCell ref="AJ232:AM232"/>
    <mergeCell ref="AN232:AQ232"/>
    <mergeCell ref="B231:E231"/>
    <mergeCell ref="B230:E230"/>
    <mergeCell ref="F230:I230"/>
    <mergeCell ref="J230:AE230"/>
    <mergeCell ref="AF230:AI230"/>
    <mergeCell ref="AJ230:AM230"/>
    <mergeCell ref="AN230:AQ230"/>
    <mergeCell ref="J229:AE229"/>
    <mergeCell ref="AF229:AI229"/>
    <mergeCell ref="AF227:AI227"/>
    <mergeCell ref="AJ227:AM227"/>
    <mergeCell ref="AJ229:AM229"/>
    <mergeCell ref="AN229:AQ229"/>
    <mergeCell ref="AN227:AQ227"/>
    <mergeCell ref="B228:E228"/>
    <mergeCell ref="F228:I228"/>
    <mergeCell ref="J228:AE228"/>
    <mergeCell ref="AF228:AI228"/>
    <mergeCell ref="AJ228:AM228"/>
    <mergeCell ref="AN228:AQ228"/>
    <mergeCell ref="AF225:AI225"/>
    <mergeCell ref="AJ225:AM225"/>
    <mergeCell ref="AN225:AQ225"/>
    <mergeCell ref="B226:E226"/>
    <mergeCell ref="F226:I226"/>
    <mergeCell ref="J226:AE226"/>
    <mergeCell ref="AF226:AI226"/>
    <mergeCell ref="AJ226:AM226"/>
    <mergeCell ref="AN226:AQ226"/>
    <mergeCell ref="AF223:AI223"/>
    <mergeCell ref="AJ223:AM223"/>
    <mergeCell ref="AN223:AQ223"/>
    <mergeCell ref="B224:E224"/>
    <mergeCell ref="F224:I224"/>
    <mergeCell ref="J224:AE224"/>
    <mergeCell ref="AF224:AI224"/>
    <mergeCell ref="AJ224:AM224"/>
    <mergeCell ref="AN224:AQ224"/>
    <mergeCell ref="A223:A236"/>
    <mergeCell ref="B223:E223"/>
    <mergeCell ref="F223:I223"/>
    <mergeCell ref="J223:AE223"/>
    <mergeCell ref="B225:E225"/>
    <mergeCell ref="F225:I225"/>
    <mergeCell ref="J225:AE225"/>
    <mergeCell ref="B227:E227"/>
    <mergeCell ref="F227:I227"/>
    <mergeCell ref="J227:AE227"/>
    <mergeCell ref="AF221:AI221"/>
    <mergeCell ref="AJ221:AM221"/>
    <mergeCell ref="AN221:AQ221"/>
    <mergeCell ref="B222:E222"/>
    <mergeCell ref="F222:AE222"/>
    <mergeCell ref="AF222:AI222"/>
    <mergeCell ref="AJ222:AM222"/>
    <mergeCell ref="AN222:AQ222"/>
    <mergeCell ref="B220:E220"/>
    <mergeCell ref="F220:I220"/>
    <mergeCell ref="J220:AE220"/>
    <mergeCell ref="B221:E221"/>
    <mergeCell ref="F221:I221"/>
    <mergeCell ref="J221:AE221"/>
    <mergeCell ref="AJ218:AM218"/>
    <mergeCell ref="AN218:AQ218"/>
    <mergeCell ref="B219:E219"/>
    <mergeCell ref="F219:I219"/>
    <mergeCell ref="J219:AE219"/>
    <mergeCell ref="B218:E218"/>
    <mergeCell ref="F218:I218"/>
    <mergeCell ref="J218:AE218"/>
    <mergeCell ref="AF218:AI218"/>
    <mergeCell ref="AN216:AQ216"/>
    <mergeCell ref="B217:E217"/>
    <mergeCell ref="F217:I217"/>
    <mergeCell ref="J217:AE217"/>
    <mergeCell ref="AF217:AI217"/>
    <mergeCell ref="AJ217:AM217"/>
    <mergeCell ref="AN217:AQ217"/>
    <mergeCell ref="B216:E216"/>
    <mergeCell ref="F216:AE216"/>
    <mergeCell ref="AF216:AI216"/>
    <mergeCell ref="AJ216:AM216"/>
    <mergeCell ref="AJ214:AM214"/>
    <mergeCell ref="AN214:AQ214"/>
    <mergeCell ref="B215:E215"/>
    <mergeCell ref="F215:I215"/>
    <mergeCell ref="J215:AE215"/>
    <mergeCell ref="AF215:AI215"/>
    <mergeCell ref="AJ215:AM215"/>
    <mergeCell ref="AN215:AQ215"/>
    <mergeCell ref="B214:E214"/>
    <mergeCell ref="F214:I214"/>
    <mergeCell ref="J214:AE214"/>
    <mergeCell ref="AF214:AI214"/>
    <mergeCell ref="AN212:AQ212"/>
    <mergeCell ref="AJ213:AM213"/>
    <mergeCell ref="AN213:AQ213"/>
    <mergeCell ref="B212:E212"/>
    <mergeCell ref="F212:AE212"/>
    <mergeCell ref="AF212:AI212"/>
    <mergeCell ref="AJ212:AM212"/>
    <mergeCell ref="B213:E213"/>
    <mergeCell ref="F213:I213"/>
    <mergeCell ref="J213:AE213"/>
    <mergeCell ref="AF213:AI213"/>
    <mergeCell ref="AN210:AQ210"/>
    <mergeCell ref="B211:E211"/>
    <mergeCell ref="F211:I211"/>
    <mergeCell ref="J211:AE211"/>
    <mergeCell ref="AF211:AI211"/>
    <mergeCell ref="AJ211:AM211"/>
    <mergeCell ref="AN211:AQ211"/>
    <mergeCell ref="B210:E210"/>
    <mergeCell ref="F210:AE210"/>
    <mergeCell ref="AF210:AI210"/>
    <mergeCell ref="AJ210:AM210"/>
    <mergeCell ref="AN208:AQ208"/>
    <mergeCell ref="B209:E209"/>
    <mergeCell ref="F209:I209"/>
    <mergeCell ref="J209:AE209"/>
    <mergeCell ref="AF209:AI209"/>
    <mergeCell ref="AJ209:AM209"/>
    <mergeCell ref="AN209:AQ209"/>
    <mergeCell ref="B208:E208"/>
    <mergeCell ref="F208:AE208"/>
    <mergeCell ref="AF208:AI208"/>
    <mergeCell ref="AJ208:AM208"/>
    <mergeCell ref="AJ206:AM206"/>
    <mergeCell ref="AN206:AQ206"/>
    <mergeCell ref="AJ207:AM207"/>
    <mergeCell ref="AN207:AQ207"/>
    <mergeCell ref="B206:E206"/>
    <mergeCell ref="F206:I206"/>
    <mergeCell ref="J206:AE206"/>
    <mergeCell ref="AF206:AI206"/>
    <mergeCell ref="B207:E207"/>
    <mergeCell ref="F207:I207"/>
    <mergeCell ref="J207:AE207"/>
    <mergeCell ref="AF207:AI207"/>
    <mergeCell ref="B205:E205"/>
    <mergeCell ref="F205:I205"/>
    <mergeCell ref="J205:AE205"/>
    <mergeCell ref="AF205:AI205"/>
    <mergeCell ref="AJ205:AM205"/>
    <mergeCell ref="AN205:AQ205"/>
    <mergeCell ref="AJ202:AM202"/>
    <mergeCell ref="AN202:AQ202"/>
    <mergeCell ref="AJ203:AM203"/>
    <mergeCell ref="AN203:AQ203"/>
    <mergeCell ref="AJ204:AM204"/>
    <mergeCell ref="AN204:AQ204"/>
    <mergeCell ref="B203:E203"/>
    <mergeCell ref="F203:I203"/>
    <mergeCell ref="J203:AE203"/>
    <mergeCell ref="AF203:AI203"/>
    <mergeCell ref="J204:AE204"/>
    <mergeCell ref="AF204:AI204"/>
    <mergeCell ref="B204:E204"/>
    <mergeCell ref="F204:I204"/>
    <mergeCell ref="B200:E200"/>
    <mergeCell ref="F200:I200"/>
    <mergeCell ref="B202:E202"/>
    <mergeCell ref="F202:I202"/>
    <mergeCell ref="J202:AE202"/>
    <mergeCell ref="AF202:AI202"/>
    <mergeCell ref="B201:E201"/>
    <mergeCell ref="F201:I201"/>
    <mergeCell ref="J201:AE201"/>
    <mergeCell ref="AF201:AI201"/>
    <mergeCell ref="AJ201:AM201"/>
    <mergeCell ref="AN201:AQ201"/>
    <mergeCell ref="J200:AE200"/>
    <mergeCell ref="AF200:AI200"/>
    <mergeCell ref="AJ198:AM198"/>
    <mergeCell ref="AN198:AQ198"/>
    <mergeCell ref="AJ199:AM199"/>
    <mergeCell ref="AN199:AQ199"/>
    <mergeCell ref="AJ200:AM200"/>
    <mergeCell ref="AN200:AQ200"/>
    <mergeCell ref="B198:E198"/>
    <mergeCell ref="F198:I198"/>
    <mergeCell ref="J198:AE198"/>
    <mergeCell ref="AF198:AI198"/>
    <mergeCell ref="B199:E199"/>
    <mergeCell ref="F199:I199"/>
    <mergeCell ref="J199:AE199"/>
    <mergeCell ref="AF199:AI199"/>
    <mergeCell ref="B197:E197"/>
    <mergeCell ref="F197:I197"/>
    <mergeCell ref="J197:AE197"/>
    <mergeCell ref="AF197:AI197"/>
    <mergeCell ref="AJ197:AM197"/>
    <mergeCell ref="AN197:AQ197"/>
    <mergeCell ref="AJ194:AM194"/>
    <mergeCell ref="AN194:AQ194"/>
    <mergeCell ref="AJ195:AM195"/>
    <mergeCell ref="AN195:AQ195"/>
    <mergeCell ref="AJ196:AM196"/>
    <mergeCell ref="AN196:AQ196"/>
    <mergeCell ref="B195:E195"/>
    <mergeCell ref="F195:I195"/>
    <mergeCell ref="J195:AE195"/>
    <mergeCell ref="AF195:AI195"/>
    <mergeCell ref="J196:AE196"/>
    <mergeCell ref="AF196:AI196"/>
    <mergeCell ref="B196:E196"/>
    <mergeCell ref="F196:I196"/>
    <mergeCell ref="B192:E192"/>
    <mergeCell ref="F192:I192"/>
    <mergeCell ref="B194:E194"/>
    <mergeCell ref="F194:I194"/>
    <mergeCell ref="J194:AE194"/>
    <mergeCell ref="AF194:AI194"/>
    <mergeCell ref="B193:E193"/>
    <mergeCell ref="F193:I193"/>
    <mergeCell ref="J193:AE193"/>
    <mergeCell ref="AF193:AI193"/>
    <mergeCell ref="AJ193:AM193"/>
    <mergeCell ref="AN193:AQ193"/>
    <mergeCell ref="J192:AE192"/>
    <mergeCell ref="AF192:AI192"/>
    <mergeCell ref="AJ190:AM190"/>
    <mergeCell ref="AN190:AQ190"/>
    <mergeCell ref="AJ191:AM191"/>
    <mergeCell ref="AN191:AQ191"/>
    <mergeCell ref="AJ192:AM192"/>
    <mergeCell ref="AN192:AQ192"/>
    <mergeCell ref="B190:E190"/>
    <mergeCell ref="F190:I190"/>
    <mergeCell ref="J190:AE190"/>
    <mergeCell ref="AF190:AI190"/>
    <mergeCell ref="B191:E191"/>
    <mergeCell ref="F191:I191"/>
    <mergeCell ref="J191:AE191"/>
    <mergeCell ref="AF191:AI191"/>
    <mergeCell ref="B189:E189"/>
    <mergeCell ref="F189:I189"/>
    <mergeCell ref="J189:AE189"/>
    <mergeCell ref="AF189:AI189"/>
    <mergeCell ref="AJ189:AM189"/>
    <mergeCell ref="AN189:AQ189"/>
    <mergeCell ref="AJ186:AM186"/>
    <mergeCell ref="AN186:AQ186"/>
    <mergeCell ref="AJ187:AM187"/>
    <mergeCell ref="AN187:AQ187"/>
    <mergeCell ref="AJ188:AM188"/>
    <mergeCell ref="AN188:AQ188"/>
    <mergeCell ref="B187:E187"/>
    <mergeCell ref="F187:I187"/>
    <mergeCell ref="J187:AE187"/>
    <mergeCell ref="AF187:AI187"/>
    <mergeCell ref="J188:AE188"/>
    <mergeCell ref="AF188:AI188"/>
    <mergeCell ref="B188:E188"/>
    <mergeCell ref="F188:I188"/>
    <mergeCell ref="B184:E184"/>
    <mergeCell ref="F184:I184"/>
    <mergeCell ref="B186:E186"/>
    <mergeCell ref="F186:I186"/>
    <mergeCell ref="J186:AE186"/>
    <mergeCell ref="AF186:AI186"/>
    <mergeCell ref="B185:E185"/>
    <mergeCell ref="F185:I185"/>
    <mergeCell ref="J185:AE185"/>
    <mergeCell ref="AF185:AI185"/>
    <mergeCell ref="AJ185:AM185"/>
    <mergeCell ref="AN185:AQ185"/>
    <mergeCell ref="J184:AE184"/>
    <mergeCell ref="AF184:AI184"/>
    <mergeCell ref="AJ182:AM182"/>
    <mergeCell ref="AN182:AQ182"/>
    <mergeCell ref="AJ183:AM183"/>
    <mergeCell ref="AN183:AQ183"/>
    <mergeCell ref="AJ184:AM184"/>
    <mergeCell ref="AN184:AQ184"/>
    <mergeCell ref="B182:E182"/>
    <mergeCell ref="F182:I182"/>
    <mergeCell ref="J182:AE182"/>
    <mergeCell ref="AF182:AI182"/>
    <mergeCell ref="B183:E183"/>
    <mergeCell ref="F183:I183"/>
    <mergeCell ref="J183:AE183"/>
    <mergeCell ref="AF183:AI183"/>
    <mergeCell ref="AN180:AQ180"/>
    <mergeCell ref="B181:E181"/>
    <mergeCell ref="F181:AE181"/>
    <mergeCell ref="AF181:AI181"/>
    <mergeCell ref="AJ181:AM181"/>
    <mergeCell ref="AN181:AQ181"/>
    <mergeCell ref="B180:E180"/>
    <mergeCell ref="F180:I180"/>
    <mergeCell ref="J180:AE180"/>
    <mergeCell ref="AN178:AQ178"/>
    <mergeCell ref="B179:E179"/>
    <mergeCell ref="F179:I179"/>
    <mergeCell ref="J179:AE179"/>
    <mergeCell ref="AF179:AI179"/>
    <mergeCell ref="AJ179:AM179"/>
    <mergeCell ref="AN179:AQ179"/>
    <mergeCell ref="B178:E178"/>
    <mergeCell ref="F178:I178"/>
    <mergeCell ref="J178:AE178"/>
    <mergeCell ref="AF178:AI178"/>
    <mergeCell ref="AJ176:AM176"/>
    <mergeCell ref="AF180:AI180"/>
    <mergeCell ref="AJ178:AM178"/>
    <mergeCell ref="AJ180:AM180"/>
    <mergeCell ref="AN176:AQ176"/>
    <mergeCell ref="B177:E177"/>
    <mergeCell ref="F177:AE177"/>
    <mergeCell ref="AF177:AI177"/>
    <mergeCell ref="AJ177:AM177"/>
    <mergeCell ref="AN177:AQ177"/>
    <mergeCell ref="B176:E176"/>
    <mergeCell ref="F176:I176"/>
    <mergeCell ref="J176:AE176"/>
    <mergeCell ref="AF176:AI176"/>
    <mergeCell ref="AF174:AI174"/>
    <mergeCell ref="AJ174:AM174"/>
    <mergeCell ref="AN174:AQ174"/>
    <mergeCell ref="A175:A222"/>
    <mergeCell ref="B175:E175"/>
    <mergeCell ref="F175:I175"/>
    <mergeCell ref="J175:AE175"/>
    <mergeCell ref="AF175:AI175"/>
    <mergeCell ref="AJ175:AM175"/>
    <mergeCell ref="AN175:AQ175"/>
    <mergeCell ref="AN171:AQ171"/>
    <mergeCell ref="AJ172:AM172"/>
    <mergeCell ref="AN172:AQ172"/>
    <mergeCell ref="B173:E173"/>
    <mergeCell ref="F173:I173"/>
    <mergeCell ref="J173:AE173"/>
    <mergeCell ref="AF173:AI173"/>
    <mergeCell ref="AJ173:AM173"/>
    <mergeCell ref="AN173:AQ173"/>
    <mergeCell ref="AF172:AI172"/>
    <mergeCell ref="B174:E174"/>
    <mergeCell ref="F174:AE174"/>
    <mergeCell ref="AJ170:AM170"/>
    <mergeCell ref="AN170:AQ170"/>
    <mergeCell ref="B171:E171"/>
    <mergeCell ref="F171:I171"/>
    <mergeCell ref="J171:AE171"/>
    <mergeCell ref="AF171:AI171"/>
    <mergeCell ref="AJ171:AM171"/>
    <mergeCell ref="B168:E168"/>
    <mergeCell ref="F168:AE168"/>
    <mergeCell ref="AF168:AI168"/>
    <mergeCell ref="A170:A174"/>
    <mergeCell ref="B170:E170"/>
    <mergeCell ref="F170:AE170"/>
    <mergeCell ref="AF170:AI170"/>
    <mergeCell ref="B172:E172"/>
    <mergeCell ref="F172:I172"/>
    <mergeCell ref="J172:AE172"/>
    <mergeCell ref="B169:E169"/>
    <mergeCell ref="F169:I169"/>
    <mergeCell ref="J169:AE169"/>
    <mergeCell ref="AF169:AI169"/>
    <mergeCell ref="AJ169:AM169"/>
    <mergeCell ref="AN169:AQ169"/>
    <mergeCell ref="AJ168:AM168"/>
    <mergeCell ref="AJ166:AM166"/>
    <mergeCell ref="AN166:AQ166"/>
    <mergeCell ref="B167:E167"/>
    <mergeCell ref="F167:I167"/>
    <mergeCell ref="J167:AE167"/>
    <mergeCell ref="AF167:AI167"/>
    <mergeCell ref="AJ167:AM167"/>
    <mergeCell ref="AN167:AQ167"/>
    <mergeCell ref="AN168:AQ168"/>
    <mergeCell ref="AJ164:AM164"/>
    <mergeCell ref="AN164:AQ164"/>
    <mergeCell ref="B165:E165"/>
    <mergeCell ref="F165:I165"/>
    <mergeCell ref="J165:AE165"/>
    <mergeCell ref="AF165:AI165"/>
    <mergeCell ref="AJ165:AM165"/>
    <mergeCell ref="AN165:AQ165"/>
    <mergeCell ref="F166:AE166"/>
    <mergeCell ref="AF166:AI166"/>
    <mergeCell ref="AJ162:AM162"/>
    <mergeCell ref="AN162:AQ162"/>
    <mergeCell ref="B163:E163"/>
    <mergeCell ref="F163:I163"/>
    <mergeCell ref="J163:AE163"/>
    <mergeCell ref="AF163:AI163"/>
    <mergeCell ref="AJ163:AM163"/>
    <mergeCell ref="AN163:AQ163"/>
    <mergeCell ref="B160:E160"/>
    <mergeCell ref="F160:I160"/>
    <mergeCell ref="A162:A168"/>
    <mergeCell ref="B162:E162"/>
    <mergeCell ref="F162:AE162"/>
    <mergeCell ref="AF162:AI162"/>
    <mergeCell ref="B164:E164"/>
    <mergeCell ref="F164:AE164"/>
    <mergeCell ref="AF164:AI164"/>
    <mergeCell ref="B166:E166"/>
    <mergeCell ref="B161:E161"/>
    <mergeCell ref="F161:I161"/>
    <mergeCell ref="J161:AE161"/>
    <mergeCell ref="AF161:AI161"/>
    <mergeCell ref="AJ161:AM161"/>
    <mergeCell ref="AN161:AQ161"/>
    <mergeCell ref="J160:AE160"/>
    <mergeCell ref="AF160:AI160"/>
    <mergeCell ref="AF158:AI158"/>
    <mergeCell ref="AJ158:AM158"/>
    <mergeCell ref="AJ160:AM160"/>
    <mergeCell ref="AN160:AQ160"/>
    <mergeCell ref="AN158:AQ158"/>
    <mergeCell ref="B159:E159"/>
    <mergeCell ref="F159:I159"/>
    <mergeCell ref="J159:AE159"/>
    <mergeCell ref="AF159:AI159"/>
    <mergeCell ref="AJ159:AM159"/>
    <mergeCell ref="AN159:AQ159"/>
    <mergeCell ref="AF156:AI156"/>
    <mergeCell ref="AJ156:AM156"/>
    <mergeCell ref="AN156:AQ156"/>
    <mergeCell ref="B157:E157"/>
    <mergeCell ref="F157:I157"/>
    <mergeCell ref="J157:AE157"/>
    <mergeCell ref="AF157:AI157"/>
    <mergeCell ref="AJ157:AM157"/>
    <mergeCell ref="AN157:AQ157"/>
    <mergeCell ref="AF154:AI154"/>
    <mergeCell ref="AJ154:AM154"/>
    <mergeCell ref="AN154:AQ154"/>
    <mergeCell ref="B155:E155"/>
    <mergeCell ref="F155:I155"/>
    <mergeCell ref="J155:AE155"/>
    <mergeCell ref="AF155:AI155"/>
    <mergeCell ref="AJ155:AM155"/>
    <mergeCell ref="AN155:AQ155"/>
    <mergeCell ref="A154:A158"/>
    <mergeCell ref="B154:E154"/>
    <mergeCell ref="F154:I154"/>
    <mergeCell ref="J154:AE154"/>
    <mergeCell ref="B156:E156"/>
    <mergeCell ref="F156:AE156"/>
    <mergeCell ref="B158:E158"/>
    <mergeCell ref="F158:AE158"/>
    <mergeCell ref="B153:E153"/>
    <mergeCell ref="F153:AE153"/>
    <mergeCell ref="AF153:AI153"/>
    <mergeCell ref="AJ153:AM153"/>
    <mergeCell ref="AN153:AQ153"/>
    <mergeCell ref="B152:E152"/>
    <mergeCell ref="F152:I152"/>
    <mergeCell ref="J152:AE152"/>
    <mergeCell ref="B151:E151"/>
    <mergeCell ref="F151:I151"/>
    <mergeCell ref="J151:AE151"/>
    <mergeCell ref="AF151:AI151"/>
    <mergeCell ref="AJ151:AM151"/>
    <mergeCell ref="AN151:AQ151"/>
    <mergeCell ref="AJ148:AM148"/>
    <mergeCell ref="AN148:AQ148"/>
    <mergeCell ref="AJ149:AM149"/>
    <mergeCell ref="AN149:AQ149"/>
    <mergeCell ref="AF152:AI152"/>
    <mergeCell ref="AN150:AQ150"/>
    <mergeCell ref="AJ152:AM152"/>
    <mergeCell ref="AN152:AQ152"/>
    <mergeCell ref="B149:E149"/>
    <mergeCell ref="F149:I149"/>
    <mergeCell ref="J149:AE149"/>
    <mergeCell ref="AF149:AI149"/>
    <mergeCell ref="AF150:AI150"/>
    <mergeCell ref="AJ150:AM150"/>
    <mergeCell ref="B150:E150"/>
    <mergeCell ref="F150:AE150"/>
    <mergeCell ref="B146:E146"/>
    <mergeCell ref="F146:I146"/>
    <mergeCell ref="B148:E148"/>
    <mergeCell ref="F148:I148"/>
    <mergeCell ref="J148:AE148"/>
    <mergeCell ref="AF148:AI148"/>
    <mergeCell ref="B147:E147"/>
    <mergeCell ref="F147:I147"/>
    <mergeCell ref="J147:AE147"/>
    <mergeCell ref="AF147:AI147"/>
    <mergeCell ref="AJ147:AM147"/>
    <mergeCell ref="AN147:AQ147"/>
    <mergeCell ref="AJ145:AM145"/>
    <mergeCell ref="J146:AE146"/>
    <mergeCell ref="AF146:AI146"/>
    <mergeCell ref="AJ144:AM144"/>
    <mergeCell ref="AN144:AQ144"/>
    <mergeCell ref="AN145:AQ145"/>
    <mergeCell ref="AJ146:AM146"/>
    <mergeCell ref="AN146:AQ146"/>
    <mergeCell ref="B144:E144"/>
    <mergeCell ref="F144:I144"/>
    <mergeCell ref="J144:AE144"/>
    <mergeCell ref="AF144:AI144"/>
    <mergeCell ref="B145:E145"/>
    <mergeCell ref="F145:AE145"/>
    <mergeCell ref="AF145:AI145"/>
    <mergeCell ref="B143:E143"/>
    <mergeCell ref="F143:I143"/>
    <mergeCell ref="J143:AE143"/>
    <mergeCell ref="AF143:AI143"/>
    <mergeCell ref="AJ143:AM143"/>
    <mergeCell ref="AN143:AQ143"/>
    <mergeCell ref="AJ140:AM140"/>
    <mergeCell ref="AN140:AQ140"/>
    <mergeCell ref="AJ141:AM141"/>
    <mergeCell ref="AN141:AQ141"/>
    <mergeCell ref="AJ142:AM142"/>
    <mergeCell ref="AN142:AQ142"/>
    <mergeCell ref="B141:E141"/>
    <mergeCell ref="F141:I141"/>
    <mergeCell ref="J141:AE141"/>
    <mergeCell ref="AF141:AI141"/>
    <mergeCell ref="J142:AE142"/>
    <mergeCell ref="AF142:AI142"/>
    <mergeCell ref="B142:E142"/>
    <mergeCell ref="F142:I142"/>
    <mergeCell ref="B138:E138"/>
    <mergeCell ref="F138:I138"/>
    <mergeCell ref="B140:E140"/>
    <mergeCell ref="F140:I140"/>
    <mergeCell ref="J140:AE140"/>
    <mergeCell ref="AF140:AI140"/>
    <mergeCell ref="B139:E139"/>
    <mergeCell ref="F139:I139"/>
    <mergeCell ref="J139:AE139"/>
    <mergeCell ref="AF139:AI139"/>
    <mergeCell ref="AJ139:AM139"/>
    <mergeCell ref="AN139:AQ139"/>
    <mergeCell ref="J138:AE138"/>
    <mergeCell ref="AF138:AI138"/>
    <mergeCell ref="AJ136:AM136"/>
    <mergeCell ref="AN136:AQ136"/>
    <mergeCell ref="AJ137:AM137"/>
    <mergeCell ref="AN137:AQ137"/>
    <mergeCell ref="AJ138:AM138"/>
    <mergeCell ref="AN138:AQ138"/>
    <mergeCell ref="B136:E136"/>
    <mergeCell ref="F136:I136"/>
    <mergeCell ref="J136:AE136"/>
    <mergeCell ref="AF136:AI136"/>
    <mergeCell ref="B137:E137"/>
    <mergeCell ref="F137:I137"/>
    <mergeCell ref="J137:AE137"/>
    <mergeCell ref="AF137:AI137"/>
    <mergeCell ref="B135:E135"/>
    <mergeCell ref="F135:I135"/>
    <mergeCell ref="J135:AE135"/>
    <mergeCell ref="AF135:AI135"/>
    <mergeCell ref="AJ135:AM135"/>
    <mergeCell ref="AN135:AQ135"/>
    <mergeCell ref="AJ132:AM132"/>
    <mergeCell ref="AN132:AQ132"/>
    <mergeCell ref="AJ133:AM133"/>
    <mergeCell ref="AN133:AQ133"/>
    <mergeCell ref="AJ134:AM134"/>
    <mergeCell ref="AN134:AQ134"/>
    <mergeCell ref="B133:E133"/>
    <mergeCell ref="F133:I133"/>
    <mergeCell ref="J133:AE133"/>
    <mergeCell ref="AF133:AI133"/>
    <mergeCell ref="J134:AE134"/>
    <mergeCell ref="AF134:AI134"/>
    <mergeCell ref="B134:E134"/>
    <mergeCell ref="F134:I134"/>
    <mergeCell ref="B130:E130"/>
    <mergeCell ref="F130:I130"/>
    <mergeCell ref="B132:E132"/>
    <mergeCell ref="F132:I132"/>
    <mergeCell ref="J132:AE132"/>
    <mergeCell ref="AF132:AI132"/>
    <mergeCell ref="B131:E131"/>
    <mergeCell ref="F131:I131"/>
    <mergeCell ref="J131:AE131"/>
    <mergeCell ref="AF131:AI131"/>
    <mergeCell ref="AJ131:AM131"/>
    <mergeCell ref="AN131:AQ131"/>
    <mergeCell ref="J130:AE130"/>
    <mergeCell ref="AF130:AI130"/>
    <mergeCell ref="AJ128:AM128"/>
    <mergeCell ref="AN128:AQ128"/>
    <mergeCell ref="AJ129:AM129"/>
    <mergeCell ref="AN129:AQ129"/>
    <mergeCell ref="AJ130:AM130"/>
    <mergeCell ref="AN130:AQ130"/>
    <mergeCell ref="B128:E128"/>
    <mergeCell ref="F128:I128"/>
    <mergeCell ref="J128:AE128"/>
    <mergeCell ref="AF128:AI128"/>
    <mergeCell ref="B129:E129"/>
    <mergeCell ref="F129:I129"/>
    <mergeCell ref="J129:AE129"/>
    <mergeCell ref="AF129:AI129"/>
    <mergeCell ref="AN126:AQ126"/>
    <mergeCell ref="B127:E127"/>
    <mergeCell ref="F127:I127"/>
    <mergeCell ref="J127:AE127"/>
    <mergeCell ref="AF127:AI127"/>
    <mergeCell ref="AJ127:AM127"/>
    <mergeCell ref="AN127:AQ127"/>
    <mergeCell ref="B126:E126"/>
    <mergeCell ref="F126:AE126"/>
    <mergeCell ref="AF126:AI126"/>
    <mergeCell ref="AJ126:AM126"/>
    <mergeCell ref="AJ124:AM124"/>
    <mergeCell ref="AN124:AQ124"/>
    <mergeCell ref="B125:E125"/>
    <mergeCell ref="F125:I125"/>
    <mergeCell ref="J125:AE125"/>
    <mergeCell ref="AF125:AI125"/>
    <mergeCell ref="AJ125:AM125"/>
    <mergeCell ref="AN125:AQ125"/>
    <mergeCell ref="B124:E124"/>
    <mergeCell ref="F122:I122"/>
    <mergeCell ref="J122:AE122"/>
    <mergeCell ref="F124:I124"/>
    <mergeCell ref="J124:AE124"/>
    <mergeCell ref="AF124:AI124"/>
    <mergeCell ref="AJ122:AM122"/>
    <mergeCell ref="AF122:AI122"/>
    <mergeCell ref="B120:E120"/>
    <mergeCell ref="F120:I120"/>
    <mergeCell ref="AN122:AQ122"/>
    <mergeCell ref="B123:E123"/>
    <mergeCell ref="F123:I123"/>
    <mergeCell ref="J123:AE123"/>
    <mergeCell ref="AF123:AI123"/>
    <mergeCell ref="AJ123:AM123"/>
    <mergeCell ref="AN123:AQ123"/>
    <mergeCell ref="B122:E122"/>
    <mergeCell ref="B121:E121"/>
    <mergeCell ref="F121:I121"/>
    <mergeCell ref="J121:AE121"/>
    <mergeCell ref="AF121:AI121"/>
    <mergeCell ref="AJ121:AM121"/>
    <mergeCell ref="AN121:AQ121"/>
    <mergeCell ref="J120:AE120"/>
    <mergeCell ref="AF120:AI120"/>
    <mergeCell ref="AJ118:AM118"/>
    <mergeCell ref="AN118:AQ118"/>
    <mergeCell ref="AJ119:AM119"/>
    <mergeCell ref="AN119:AQ119"/>
    <mergeCell ref="AJ120:AM120"/>
    <mergeCell ref="AN120:AQ120"/>
    <mergeCell ref="B118:E118"/>
    <mergeCell ref="F118:I118"/>
    <mergeCell ref="J118:AE118"/>
    <mergeCell ref="AF118:AI118"/>
    <mergeCell ref="B119:E119"/>
    <mergeCell ref="F119:I119"/>
    <mergeCell ref="J119:AE119"/>
    <mergeCell ref="AF119:AI119"/>
    <mergeCell ref="B117:E117"/>
    <mergeCell ref="F117:I117"/>
    <mergeCell ref="J117:AE117"/>
    <mergeCell ref="AF117:AI117"/>
    <mergeCell ref="AJ117:AM117"/>
    <mergeCell ref="AN117:AQ117"/>
    <mergeCell ref="AJ114:AM114"/>
    <mergeCell ref="AN114:AQ114"/>
    <mergeCell ref="AJ115:AM115"/>
    <mergeCell ref="AN115:AQ115"/>
    <mergeCell ref="AJ116:AM116"/>
    <mergeCell ref="AN116:AQ116"/>
    <mergeCell ref="B115:E115"/>
    <mergeCell ref="F115:I115"/>
    <mergeCell ref="J115:AE115"/>
    <mergeCell ref="AF115:AI115"/>
    <mergeCell ref="J116:AE116"/>
    <mergeCell ref="AF116:AI116"/>
    <mergeCell ref="B116:E116"/>
    <mergeCell ref="F116:I116"/>
    <mergeCell ref="B112:E112"/>
    <mergeCell ref="F112:I112"/>
    <mergeCell ref="B114:E114"/>
    <mergeCell ref="F114:I114"/>
    <mergeCell ref="J114:AE114"/>
    <mergeCell ref="AF114:AI114"/>
    <mergeCell ref="B113:E113"/>
    <mergeCell ref="F113:I113"/>
    <mergeCell ref="J113:AE113"/>
    <mergeCell ref="AF113:AI113"/>
    <mergeCell ref="AJ113:AM113"/>
    <mergeCell ref="AN113:AQ113"/>
    <mergeCell ref="J112:AE112"/>
    <mergeCell ref="AF112:AI112"/>
    <mergeCell ref="AJ110:AM110"/>
    <mergeCell ref="AN110:AQ110"/>
    <mergeCell ref="AJ111:AM111"/>
    <mergeCell ref="AN111:AQ111"/>
    <mergeCell ref="AJ112:AM112"/>
    <mergeCell ref="AN112:AQ112"/>
    <mergeCell ref="B110:E110"/>
    <mergeCell ref="F110:I110"/>
    <mergeCell ref="J110:AE110"/>
    <mergeCell ref="AF110:AI110"/>
    <mergeCell ref="B111:E111"/>
    <mergeCell ref="F111:I111"/>
    <mergeCell ref="J111:AE111"/>
    <mergeCell ref="AF111:AI111"/>
    <mergeCell ref="AN108:AQ108"/>
    <mergeCell ref="B109:E109"/>
    <mergeCell ref="F109:I109"/>
    <mergeCell ref="J109:AE109"/>
    <mergeCell ref="AF109:AI109"/>
    <mergeCell ref="AJ109:AM109"/>
    <mergeCell ref="AN109:AQ109"/>
    <mergeCell ref="B108:E108"/>
    <mergeCell ref="F108:AE108"/>
    <mergeCell ref="AF108:AI108"/>
    <mergeCell ref="AN106:AQ106"/>
    <mergeCell ref="B107:E107"/>
    <mergeCell ref="F107:I107"/>
    <mergeCell ref="J107:AE107"/>
    <mergeCell ref="AF107:AI107"/>
    <mergeCell ref="AJ107:AM107"/>
    <mergeCell ref="AN107:AQ107"/>
    <mergeCell ref="B106:E106"/>
    <mergeCell ref="F106:I106"/>
    <mergeCell ref="J106:AE106"/>
    <mergeCell ref="AF106:AI106"/>
    <mergeCell ref="AJ104:AM104"/>
    <mergeCell ref="AF104:AI104"/>
    <mergeCell ref="AJ108:AM108"/>
    <mergeCell ref="AJ106:AM106"/>
    <mergeCell ref="AN104:AQ104"/>
    <mergeCell ref="B105:E105"/>
    <mergeCell ref="F105:I105"/>
    <mergeCell ref="J105:AE105"/>
    <mergeCell ref="AF105:AI105"/>
    <mergeCell ref="AJ105:AM105"/>
    <mergeCell ref="AN105:AQ105"/>
    <mergeCell ref="B104:E104"/>
    <mergeCell ref="F104:I104"/>
    <mergeCell ref="J104:AE104"/>
    <mergeCell ref="B103:E103"/>
    <mergeCell ref="F103:I103"/>
    <mergeCell ref="J103:AE103"/>
    <mergeCell ref="AF103:AI103"/>
    <mergeCell ref="AJ103:AM103"/>
    <mergeCell ref="AN103:AQ103"/>
    <mergeCell ref="AJ100:AM100"/>
    <mergeCell ref="AN100:AQ100"/>
    <mergeCell ref="AJ101:AM101"/>
    <mergeCell ref="AN101:AQ101"/>
    <mergeCell ref="AJ102:AM102"/>
    <mergeCell ref="AN102:AQ102"/>
    <mergeCell ref="B101:E101"/>
    <mergeCell ref="F101:I101"/>
    <mergeCell ref="J101:AE101"/>
    <mergeCell ref="AF101:AI101"/>
    <mergeCell ref="J102:AE102"/>
    <mergeCell ref="AF102:AI102"/>
    <mergeCell ref="B102:E102"/>
    <mergeCell ref="F102:I102"/>
    <mergeCell ref="B98:E98"/>
    <mergeCell ref="F98:I98"/>
    <mergeCell ref="B100:E100"/>
    <mergeCell ref="F100:I100"/>
    <mergeCell ref="J100:AE100"/>
    <mergeCell ref="AF100:AI100"/>
    <mergeCell ref="B99:E99"/>
    <mergeCell ref="F99:I99"/>
    <mergeCell ref="J99:AE99"/>
    <mergeCell ref="AF99:AI99"/>
    <mergeCell ref="AJ99:AM99"/>
    <mergeCell ref="AN99:AQ99"/>
    <mergeCell ref="J98:AE98"/>
    <mergeCell ref="AF98:AI98"/>
    <mergeCell ref="AJ96:AM96"/>
    <mergeCell ref="AN96:AQ96"/>
    <mergeCell ref="AJ97:AM97"/>
    <mergeCell ref="AN97:AQ97"/>
    <mergeCell ref="AJ98:AM98"/>
    <mergeCell ref="AN98:AQ98"/>
    <mergeCell ref="B96:E96"/>
    <mergeCell ref="F96:I96"/>
    <mergeCell ref="J96:AE96"/>
    <mergeCell ref="AF96:AI96"/>
    <mergeCell ref="B97:E97"/>
    <mergeCell ref="F97:I97"/>
    <mergeCell ref="J97:AE97"/>
    <mergeCell ref="AF97:AI97"/>
    <mergeCell ref="AF94:AI94"/>
    <mergeCell ref="AJ94:AM94"/>
    <mergeCell ref="AN94:AQ94"/>
    <mergeCell ref="B95:E95"/>
    <mergeCell ref="F95:I95"/>
    <mergeCell ref="J95:AE95"/>
    <mergeCell ref="AF95:AI95"/>
    <mergeCell ref="AJ95:AM95"/>
    <mergeCell ref="AN95:AQ95"/>
    <mergeCell ref="AF92:AI92"/>
    <mergeCell ref="AJ92:AM92"/>
    <mergeCell ref="AN92:AQ92"/>
    <mergeCell ref="B93:E93"/>
    <mergeCell ref="F93:I93"/>
    <mergeCell ref="J93:AE93"/>
    <mergeCell ref="AF93:AI93"/>
    <mergeCell ref="AJ93:AM93"/>
    <mergeCell ref="AN93:AQ93"/>
    <mergeCell ref="AF90:AI90"/>
    <mergeCell ref="AJ90:AM90"/>
    <mergeCell ref="AN90:AQ90"/>
    <mergeCell ref="B91:E91"/>
    <mergeCell ref="F91:I91"/>
    <mergeCell ref="J91:AE91"/>
    <mergeCell ref="AF91:AI91"/>
    <mergeCell ref="AJ91:AM91"/>
    <mergeCell ref="AN91:AQ91"/>
    <mergeCell ref="A90:A145"/>
    <mergeCell ref="B90:E90"/>
    <mergeCell ref="F90:I90"/>
    <mergeCell ref="J90:AE90"/>
    <mergeCell ref="B92:E92"/>
    <mergeCell ref="F92:I92"/>
    <mergeCell ref="J92:AE92"/>
    <mergeCell ref="B94:E94"/>
    <mergeCell ref="F94:I94"/>
    <mergeCell ref="J94:AE94"/>
    <mergeCell ref="AJ88:AM88"/>
    <mergeCell ref="AN88:AQ88"/>
    <mergeCell ref="B89:E89"/>
    <mergeCell ref="F89:AE89"/>
    <mergeCell ref="AF89:AI89"/>
    <mergeCell ref="AJ89:AM89"/>
    <mergeCell ref="AN89:AQ89"/>
    <mergeCell ref="B88:E88"/>
    <mergeCell ref="F88:I88"/>
    <mergeCell ref="J88:AE88"/>
    <mergeCell ref="AF88:AI88"/>
    <mergeCell ref="AJ86:AM86"/>
    <mergeCell ref="AN86:AQ86"/>
    <mergeCell ref="B87:E87"/>
    <mergeCell ref="F87:AE87"/>
    <mergeCell ref="AF87:AI87"/>
    <mergeCell ref="AJ87:AM87"/>
    <mergeCell ref="AN87:AQ87"/>
    <mergeCell ref="B86:E86"/>
    <mergeCell ref="F86:I86"/>
    <mergeCell ref="J86:AE86"/>
    <mergeCell ref="AF86:AI86"/>
    <mergeCell ref="AJ84:AM84"/>
    <mergeCell ref="AN84:AQ84"/>
    <mergeCell ref="AJ85:AM85"/>
    <mergeCell ref="AN85:AQ85"/>
    <mergeCell ref="B84:E84"/>
    <mergeCell ref="F84:I84"/>
    <mergeCell ref="J84:AE84"/>
    <mergeCell ref="AF84:AI84"/>
    <mergeCell ref="B85:E85"/>
    <mergeCell ref="F85:I85"/>
    <mergeCell ref="J85:AE85"/>
    <mergeCell ref="AF85:AI85"/>
    <mergeCell ref="AN82:AQ82"/>
    <mergeCell ref="B83:E83"/>
    <mergeCell ref="F83:AE83"/>
    <mergeCell ref="AF83:AI83"/>
    <mergeCell ref="AJ83:AM83"/>
    <mergeCell ref="AN83:AQ83"/>
    <mergeCell ref="B82:E82"/>
    <mergeCell ref="F82:I82"/>
    <mergeCell ref="J82:AE82"/>
    <mergeCell ref="AN80:AQ80"/>
    <mergeCell ref="B81:E81"/>
    <mergeCell ref="F81:I81"/>
    <mergeCell ref="J81:AE81"/>
    <mergeCell ref="AF81:AI81"/>
    <mergeCell ref="AJ81:AM81"/>
    <mergeCell ref="AN81:AQ81"/>
    <mergeCell ref="B80:E80"/>
    <mergeCell ref="F80:I80"/>
    <mergeCell ref="J80:AE80"/>
    <mergeCell ref="AF80:AI80"/>
    <mergeCell ref="AJ78:AM78"/>
    <mergeCell ref="AF78:AI78"/>
    <mergeCell ref="AF82:AI82"/>
    <mergeCell ref="AJ80:AM80"/>
    <mergeCell ref="AJ82:AM82"/>
    <mergeCell ref="AN78:AQ78"/>
    <mergeCell ref="B79:E79"/>
    <mergeCell ref="F79:I79"/>
    <mergeCell ref="J79:AE79"/>
    <mergeCell ref="AF79:AI79"/>
    <mergeCell ref="AJ79:AM79"/>
    <mergeCell ref="AN79:AQ79"/>
    <mergeCell ref="B78:E78"/>
    <mergeCell ref="F78:I78"/>
    <mergeCell ref="J78:AE78"/>
    <mergeCell ref="AF76:AI76"/>
    <mergeCell ref="AJ76:AM76"/>
    <mergeCell ref="AN76:AQ76"/>
    <mergeCell ref="B77:E77"/>
    <mergeCell ref="F77:I77"/>
    <mergeCell ref="J77:AE77"/>
    <mergeCell ref="AF77:AI77"/>
    <mergeCell ref="AJ77:AM77"/>
    <mergeCell ref="AN77:AQ77"/>
    <mergeCell ref="AF74:AI74"/>
    <mergeCell ref="AJ74:AM74"/>
    <mergeCell ref="AN74:AQ74"/>
    <mergeCell ref="B75:E75"/>
    <mergeCell ref="F75:AE75"/>
    <mergeCell ref="AF75:AI75"/>
    <mergeCell ref="AJ75:AM75"/>
    <mergeCell ref="AN75:AQ75"/>
    <mergeCell ref="AF72:AI72"/>
    <mergeCell ref="AJ72:AM72"/>
    <mergeCell ref="AN72:AQ72"/>
    <mergeCell ref="B73:E73"/>
    <mergeCell ref="F73:I73"/>
    <mergeCell ref="J73:AE73"/>
    <mergeCell ref="AF73:AI73"/>
    <mergeCell ref="AJ73:AM73"/>
    <mergeCell ref="AN73:AQ73"/>
    <mergeCell ref="A72:A89"/>
    <mergeCell ref="B72:E72"/>
    <mergeCell ref="F72:I72"/>
    <mergeCell ref="J72:AE72"/>
    <mergeCell ref="B74:E74"/>
    <mergeCell ref="F74:I74"/>
    <mergeCell ref="J74:AE74"/>
    <mergeCell ref="B76:E76"/>
    <mergeCell ref="F76:I76"/>
    <mergeCell ref="J76:AE76"/>
    <mergeCell ref="AF70:AI70"/>
    <mergeCell ref="AJ70:AM70"/>
    <mergeCell ref="AN70:AQ70"/>
    <mergeCell ref="B71:E71"/>
    <mergeCell ref="F71:AE71"/>
    <mergeCell ref="AF71:AI71"/>
    <mergeCell ref="AJ71:AM71"/>
    <mergeCell ref="AN71:AQ71"/>
    <mergeCell ref="AF68:AI68"/>
    <mergeCell ref="AJ68:AM68"/>
    <mergeCell ref="AN68:AQ68"/>
    <mergeCell ref="B69:E69"/>
    <mergeCell ref="F69:I69"/>
    <mergeCell ref="J69:AE69"/>
    <mergeCell ref="AF69:AI69"/>
    <mergeCell ref="AJ69:AM69"/>
    <mergeCell ref="AN69:AQ69"/>
    <mergeCell ref="AF66:AI66"/>
    <mergeCell ref="AJ66:AM66"/>
    <mergeCell ref="AN66:AQ66"/>
    <mergeCell ref="B67:E67"/>
    <mergeCell ref="F67:I67"/>
    <mergeCell ref="J67:AE67"/>
    <mergeCell ref="AF67:AI67"/>
    <mergeCell ref="AJ67:AM67"/>
    <mergeCell ref="AN67:AQ67"/>
    <mergeCell ref="A66:A71"/>
    <mergeCell ref="B66:E66"/>
    <mergeCell ref="F66:I66"/>
    <mergeCell ref="J66:AE66"/>
    <mergeCell ref="B68:E68"/>
    <mergeCell ref="F68:AE68"/>
    <mergeCell ref="B70:E70"/>
    <mergeCell ref="F70:I70"/>
    <mergeCell ref="J70:AE70"/>
    <mergeCell ref="AN64:AQ64"/>
    <mergeCell ref="B65:E65"/>
    <mergeCell ref="F65:AE65"/>
    <mergeCell ref="AF65:AI65"/>
    <mergeCell ref="AJ65:AM65"/>
    <mergeCell ref="AN65:AQ65"/>
    <mergeCell ref="B64:E64"/>
    <mergeCell ref="F64:I64"/>
    <mergeCell ref="J64:AE64"/>
    <mergeCell ref="AN62:AQ62"/>
    <mergeCell ref="B63:E63"/>
    <mergeCell ref="F63:I63"/>
    <mergeCell ref="J63:AE63"/>
    <mergeCell ref="AF63:AI63"/>
    <mergeCell ref="AJ63:AM63"/>
    <mergeCell ref="AN63:AQ63"/>
    <mergeCell ref="B62:E62"/>
    <mergeCell ref="F62:I62"/>
    <mergeCell ref="J62:AE62"/>
    <mergeCell ref="AF62:AI62"/>
    <mergeCell ref="AJ60:AM60"/>
    <mergeCell ref="AF60:AI60"/>
    <mergeCell ref="AF64:AI64"/>
    <mergeCell ref="AJ62:AM62"/>
    <mergeCell ref="AJ64:AM64"/>
    <mergeCell ref="AN60:AQ60"/>
    <mergeCell ref="B61:E61"/>
    <mergeCell ref="F61:I61"/>
    <mergeCell ref="J61:AE61"/>
    <mergeCell ref="AF61:AI61"/>
    <mergeCell ref="AJ61:AM61"/>
    <mergeCell ref="AN61:AQ61"/>
    <mergeCell ref="B60:E60"/>
    <mergeCell ref="F60:I60"/>
    <mergeCell ref="J60:AE60"/>
    <mergeCell ref="AN58:AQ58"/>
    <mergeCell ref="B59:E59"/>
    <mergeCell ref="F59:I59"/>
    <mergeCell ref="J59:AE59"/>
    <mergeCell ref="AF59:AI59"/>
    <mergeCell ref="AJ59:AM59"/>
    <mergeCell ref="AN59:AQ59"/>
    <mergeCell ref="B58:E58"/>
    <mergeCell ref="F58:AE58"/>
    <mergeCell ref="AF58:AI58"/>
    <mergeCell ref="AJ58:AM58"/>
    <mergeCell ref="AJ56:AM56"/>
    <mergeCell ref="AN56:AQ56"/>
    <mergeCell ref="B57:E57"/>
    <mergeCell ref="F57:I57"/>
    <mergeCell ref="J57:AE57"/>
    <mergeCell ref="AF57:AI57"/>
    <mergeCell ref="AJ57:AM57"/>
    <mergeCell ref="AN57:AQ57"/>
    <mergeCell ref="B56:E56"/>
    <mergeCell ref="F56:I56"/>
    <mergeCell ref="J56:AE56"/>
    <mergeCell ref="AF56:AI56"/>
    <mergeCell ref="AJ53:AM53"/>
    <mergeCell ref="F53:I53"/>
    <mergeCell ref="J53:AE53"/>
    <mergeCell ref="AF53:AI53"/>
    <mergeCell ref="AN53:AQ53"/>
    <mergeCell ref="B54:AQ54"/>
    <mergeCell ref="A55:A65"/>
    <mergeCell ref="B55:E55"/>
    <mergeCell ref="F55:I55"/>
    <mergeCell ref="J55:AE55"/>
    <mergeCell ref="AF55:AI55"/>
    <mergeCell ref="AJ55:AM55"/>
    <mergeCell ref="AN55:AQ55"/>
    <mergeCell ref="B53:E53"/>
    <mergeCell ref="B51:AQ51"/>
    <mergeCell ref="B52:E52"/>
    <mergeCell ref="F52:I52"/>
    <mergeCell ref="J52:AE52"/>
    <mergeCell ref="AF52:AI52"/>
    <mergeCell ref="AJ52:AM52"/>
    <mergeCell ref="AN52:AQ52"/>
    <mergeCell ref="AN48:AQ48"/>
    <mergeCell ref="B49:AE49"/>
    <mergeCell ref="AF49:AI49"/>
    <mergeCell ref="AJ49:AM49"/>
    <mergeCell ref="AN49:AQ49"/>
    <mergeCell ref="B48:E48"/>
    <mergeCell ref="F48:AE48"/>
    <mergeCell ref="AF48:AI48"/>
    <mergeCell ref="AJ48:AM48"/>
    <mergeCell ref="AN46:AQ46"/>
    <mergeCell ref="B47:E47"/>
    <mergeCell ref="F47:I47"/>
    <mergeCell ref="J47:AE47"/>
    <mergeCell ref="AF47:AI47"/>
    <mergeCell ref="AJ47:AM47"/>
    <mergeCell ref="AN47:AQ47"/>
    <mergeCell ref="B46:E46"/>
    <mergeCell ref="F46:AE46"/>
    <mergeCell ref="AF46:AI46"/>
    <mergeCell ref="AJ46:AM46"/>
    <mergeCell ref="AN44:AQ44"/>
    <mergeCell ref="B45:E45"/>
    <mergeCell ref="F45:I45"/>
    <mergeCell ref="J45:AE45"/>
    <mergeCell ref="AF45:AI45"/>
    <mergeCell ref="AJ45:AM45"/>
    <mergeCell ref="AN45:AQ45"/>
    <mergeCell ref="B44:E44"/>
    <mergeCell ref="F44:AE44"/>
    <mergeCell ref="AF44:AI44"/>
    <mergeCell ref="AJ44:AM44"/>
    <mergeCell ref="AN42:AQ42"/>
    <mergeCell ref="B43:E43"/>
    <mergeCell ref="F43:I43"/>
    <mergeCell ref="J43:AE43"/>
    <mergeCell ref="AF43:AI43"/>
    <mergeCell ref="AJ43:AM43"/>
    <mergeCell ref="AN43:AQ43"/>
    <mergeCell ref="B42:E42"/>
    <mergeCell ref="F40:I40"/>
    <mergeCell ref="J40:AE40"/>
    <mergeCell ref="F42:AE42"/>
    <mergeCell ref="AF42:AI42"/>
    <mergeCell ref="AJ42:AM42"/>
    <mergeCell ref="AJ40:AM40"/>
    <mergeCell ref="AF40:AI40"/>
    <mergeCell ref="B38:E38"/>
    <mergeCell ref="F38:I38"/>
    <mergeCell ref="AN40:AQ40"/>
    <mergeCell ref="B41:E41"/>
    <mergeCell ref="F41:I41"/>
    <mergeCell ref="J41:AE41"/>
    <mergeCell ref="AF41:AI41"/>
    <mergeCell ref="AJ41:AM41"/>
    <mergeCell ref="AN41:AQ41"/>
    <mergeCell ref="B40:E40"/>
    <mergeCell ref="B39:E39"/>
    <mergeCell ref="F39:I39"/>
    <mergeCell ref="J39:AE39"/>
    <mergeCell ref="AF39:AI39"/>
    <mergeCell ref="AJ39:AM39"/>
    <mergeCell ref="AN39:AQ39"/>
    <mergeCell ref="AJ37:AM37"/>
    <mergeCell ref="J38:AE38"/>
    <mergeCell ref="AF38:AI38"/>
    <mergeCell ref="AJ36:AM36"/>
    <mergeCell ref="AN36:AQ36"/>
    <mergeCell ref="AN37:AQ37"/>
    <mergeCell ref="AJ38:AM38"/>
    <mergeCell ref="AN38:AQ38"/>
    <mergeCell ref="B36:E36"/>
    <mergeCell ref="F36:I36"/>
    <mergeCell ref="J36:AE36"/>
    <mergeCell ref="AF36:AI36"/>
    <mergeCell ref="B37:E37"/>
    <mergeCell ref="F37:AE37"/>
    <mergeCell ref="AF37:AI37"/>
    <mergeCell ref="AJ34:AM34"/>
    <mergeCell ref="AN34:AQ34"/>
    <mergeCell ref="B35:E35"/>
    <mergeCell ref="F35:AE35"/>
    <mergeCell ref="AF35:AI35"/>
    <mergeCell ref="AJ35:AM35"/>
    <mergeCell ref="AN35:AQ35"/>
    <mergeCell ref="B34:E34"/>
    <mergeCell ref="F34:I34"/>
    <mergeCell ref="J34:AE34"/>
    <mergeCell ref="AF34:AI34"/>
    <mergeCell ref="AJ32:AM32"/>
    <mergeCell ref="AN32:AQ32"/>
    <mergeCell ref="B33:E33"/>
    <mergeCell ref="F33:AE33"/>
    <mergeCell ref="AF33:AI33"/>
    <mergeCell ref="AJ33:AM33"/>
    <mergeCell ref="AN33:AQ33"/>
    <mergeCell ref="B32:E32"/>
    <mergeCell ref="F32:I32"/>
    <mergeCell ref="AJ31:AM31"/>
    <mergeCell ref="J32:AE32"/>
    <mergeCell ref="AF32:AI32"/>
    <mergeCell ref="AJ30:AM30"/>
    <mergeCell ref="AN30:AQ30"/>
    <mergeCell ref="AN31:AQ31"/>
    <mergeCell ref="B30:E30"/>
    <mergeCell ref="F30:I30"/>
    <mergeCell ref="J30:AE30"/>
    <mergeCell ref="AF30:AI30"/>
    <mergeCell ref="B31:E31"/>
    <mergeCell ref="F31:AE31"/>
    <mergeCell ref="AF31:AI31"/>
    <mergeCell ref="AJ28:AM28"/>
    <mergeCell ref="AN28:AQ28"/>
    <mergeCell ref="B29:E29"/>
    <mergeCell ref="F29:AE29"/>
    <mergeCell ref="AF29:AI29"/>
    <mergeCell ref="AJ29:AM29"/>
    <mergeCell ref="AN29:AQ29"/>
    <mergeCell ref="B28:E28"/>
    <mergeCell ref="F28:I28"/>
    <mergeCell ref="J28:AE28"/>
    <mergeCell ref="AF28:AI28"/>
    <mergeCell ref="AJ26:AM26"/>
    <mergeCell ref="AN26:AQ26"/>
    <mergeCell ref="B27:E27"/>
    <mergeCell ref="F27:AE27"/>
    <mergeCell ref="AF27:AI27"/>
    <mergeCell ref="AJ27:AM27"/>
    <mergeCell ref="AN27:AQ27"/>
    <mergeCell ref="B26:E26"/>
    <mergeCell ref="F26:I26"/>
    <mergeCell ref="J26:AE26"/>
    <mergeCell ref="AF26:AI26"/>
    <mergeCell ref="AJ24:AM24"/>
    <mergeCell ref="AN24:AQ24"/>
    <mergeCell ref="AJ25:AM25"/>
    <mergeCell ref="AN25:AQ25"/>
    <mergeCell ref="B24:E24"/>
    <mergeCell ref="F24:I24"/>
    <mergeCell ref="J24:AE24"/>
    <mergeCell ref="AF24:AI24"/>
    <mergeCell ref="B25:E25"/>
    <mergeCell ref="F25:I25"/>
    <mergeCell ref="J25:AE25"/>
    <mergeCell ref="AF25:AI25"/>
    <mergeCell ref="B23:E23"/>
    <mergeCell ref="F23:I23"/>
    <mergeCell ref="J23:AE23"/>
    <mergeCell ref="AF23:AI23"/>
    <mergeCell ref="AJ23:AM23"/>
    <mergeCell ref="AN23:AQ23"/>
    <mergeCell ref="AJ20:AM20"/>
    <mergeCell ref="AN20:AQ20"/>
    <mergeCell ref="AJ21:AM21"/>
    <mergeCell ref="AN21:AQ21"/>
    <mergeCell ref="AJ22:AM22"/>
    <mergeCell ref="AN22:AQ22"/>
    <mergeCell ref="B21:E21"/>
    <mergeCell ref="F21:I21"/>
    <mergeCell ref="J21:AE21"/>
    <mergeCell ref="AF21:AI21"/>
    <mergeCell ref="J22:AE22"/>
    <mergeCell ref="AF22:AI22"/>
    <mergeCell ref="B22:E22"/>
    <mergeCell ref="F22:I22"/>
    <mergeCell ref="B18:E18"/>
    <mergeCell ref="F18:I18"/>
    <mergeCell ref="B20:E20"/>
    <mergeCell ref="F20:I20"/>
    <mergeCell ref="J20:AE20"/>
    <mergeCell ref="AF20:AI20"/>
    <mergeCell ref="B19:E19"/>
    <mergeCell ref="F19:I19"/>
    <mergeCell ref="J19:AE19"/>
    <mergeCell ref="AF19:AI19"/>
    <mergeCell ref="AJ19:AM19"/>
    <mergeCell ref="AN19:AQ19"/>
    <mergeCell ref="J18:AE18"/>
    <mergeCell ref="AF18:AI18"/>
    <mergeCell ref="AJ16:AM16"/>
    <mergeCell ref="AN16:AQ16"/>
    <mergeCell ref="AJ17:AM17"/>
    <mergeCell ref="AN17:AQ17"/>
    <mergeCell ref="AJ18:AM18"/>
    <mergeCell ref="AN18:AQ18"/>
    <mergeCell ref="B16:E16"/>
    <mergeCell ref="F16:I16"/>
    <mergeCell ref="J16:AE16"/>
    <mergeCell ref="AF16:AI16"/>
    <mergeCell ref="B17:E17"/>
    <mergeCell ref="F17:I17"/>
    <mergeCell ref="J17:AE17"/>
    <mergeCell ref="AF17:AI17"/>
    <mergeCell ref="AN14:AQ14"/>
    <mergeCell ref="B15:E15"/>
    <mergeCell ref="F15:I15"/>
    <mergeCell ref="J15:AE15"/>
    <mergeCell ref="AF15:AI15"/>
    <mergeCell ref="AJ15:AM15"/>
    <mergeCell ref="AN15:AQ15"/>
    <mergeCell ref="B14:E14"/>
    <mergeCell ref="F14:I14"/>
    <mergeCell ref="B13:E13"/>
    <mergeCell ref="F13:I13"/>
    <mergeCell ref="J13:AE13"/>
    <mergeCell ref="AF13:AI13"/>
    <mergeCell ref="AJ13:AM13"/>
    <mergeCell ref="AJ14:AM14"/>
    <mergeCell ref="AN13:AQ13"/>
    <mergeCell ref="B11:E11"/>
    <mergeCell ref="F11:I11"/>
    <mergeCell ref="J11:AE11"/>
    <mergeCell ref="AF11:AI11"/>
    <mergeCell ref="J14:AE14"/>
    <mergeCell ref="AF14:AI14"/>
    <mergeCell ref="AJ11:AM11"/>
    <mergeCell ref="AN11:AQ11"/>
    <mergeCell ref="B12:AQ12"/>
    <mergeCell ref="B7:AQ7"/>
    <mergeCell ref="B8:BA8"/>
    <mergeCell ref="B9:AQ9"/>
    <mergeCell ref="B10:E10"/>
    <mergeCell ref="F10:I10"/>
    <mergeCell ref="AF10:AI10"/>
    <mergeCell ref="AJ10:AM10"/>
    <mergeCell ref="AN10:AQ10"/>
    <mergeCell ref="B4:K4"/>
    <mergeCell ref="L4:Y4"/>
    <mergeCell ref="Z4:AQ4"/>
    <mergeCell ref="B5:AQ5"/>
    <mergeCell ref="B6:K6"/>
    <mergeCell ref="L6:N6"/>
    <mergeCell ref="O6:T6"/>
    <mergeCell ref="U6:AQ6"/>
    <mergeCell ref="B1:K1"/>
    <mergeCell ref="L1:AQ1"/>
    <mergeCell ref="B2:K2"/>
    <mergeCell ref="L2:Y2"/>
    <mergeCell ref="Z2:AQ2"/>
    <mergeCell ref="B3:K3"/>
    <mergeCell ref="L3:Y3"/>
    <mergeCell ref="Z3:AQ3"/>
  </mergeCells>
  <printOptions/>
  <pageMargins left="0.3937007874015748" right="0.3937007874015748" top="0.5905511811023623" bottom="0.5905511811023623" header="0.31496062992125984" footer="0.31496062992125984"/>
  <pageSetup horizontalDpi="200" verticalDpi="200" orientation="landscape" paperSize="9" scale="8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94"/>
  <sheetViews>
    <sheetView zoomScale="90" zoomScaleNormal="90" zoomScalePageLayoutView="0" workbookViewId="0" topLeftCell="A83">
      <selection activeCell="I103" sqref="I103"/>
    </sheetView>
  </sheetViews>
  <sheetFormatPr defaultColWidth="9.140625" defaultRowHeight="12.75"/>
  <cols>
    <col min="1" max="1" width="40.7109375" style="71" customWidth="1"/>
    <col min="2" max="2" width="8.8515625" style="72" customWidth="1"/>
    <col min="3" max="3" width="8.7109375" style="72" customWidth="1"/>
    <col min="4" max="5" width="8.8515625" style="72" customWidth="1"/>
    <col min="6" max="6" width="8.8515625" style="72" hidden="1" customWidth="1"/>
    <col min="7" max="7" width="8.8515625" style="73" customWidth="1"/>
    <col min="8" max="8" width="13.28125" style="74" customWidth="1"/>
    <col min="9" max="9" width="28.57421875" style="75" customWidth="1"/>
    <col min="10" max="10" width="8.8515625" style="72" customWidth="1"/>
    <col min="11" max="11" width="9.8515625" style="72" customWidth="1"/>
    <col min="12" max="12" width="8.8515625" style="72" customWidth="1"/>
    <col min="13" max="13" width="8.8515625" style="73" customWidth="1"/>
    <col min="14" max="14" width="8.8515625" style="72" hidden="1" customWidth="1"/>
    <col min="15" max="15" width="8.8515625" style="73" customWidth="1"/>
  </cols>
  <sheetData>
    <row r="1" ht="4.5" customHeight="1" thickBot="1"/>
    <row r="2" spans="1:15" ht="13.5" thickTop="1">
      <c r="A2" s="76"/>
      <c r="B2" s="417" t="s">
        <v>708</v>
      </c>
      <c r="C2" s="417"/>
      <c r="D2" s="417"/>
      <c r="E2" s="417"/>
      <c r="F2" s="417"/>
      <c r="G2" s="417"/>
      <c r="H2" s="77"/>
      <c r="I2" s="78"/>
      <c r="J2" s="418" t="s">
        <v>709</v>
      </c>
      <c r="K2" s="419"/>
      <c r="L2" s="419"/>
      <c r="M2" s="419"/>
      <c r="N2" s="419"/>
      <c r="O2" s="420"/>
    </row>
    <row r="3" spans="1:15" ht="36">
      <c r="A3" s="79"/>
      <c r="B3" s="80" t="s">
        <v>710</v>
      </c>
      <c r="C3" s="80" t="s">
        <v>711</v>
      </c>
      <c r="D3" s="80" t="s">
        <v>712</v>
      </c>
      <c r="E3" s="421" t="s">
        <v>713</v>
      </c>
      <c r="F3" s="422"/>
      <c r="G3" s="80" t="s">
        <v>714</v>
      </c>
      <c r="H3" s="81"/>
      <c r="I3" s="82"/>
      <c r="J3" s="80" t="s">
        <v>710</v>
      </c>
      <c r="K3" s="80" t="s">
        <v>711</v>
      </c>
      <c r="L3" s="80" t="s">
        <v>712</v>
      </c>
      <c r="M3" s="421" t="s">
        <v>713</v>
      </c>
      <c r="N3" s="422"/>
      <c r="O3" s="83" t="s">
        <v>714</v>
      </c>
    </row>
    <row r="4" spans="1:15" ht="12.75" hidden="1">
      <c r="A4" s="79"/>
      <c r="B4" s="80"/>
      <c r="C4" s="80"/>
      <c r="D4" s="80"/>
      <c r="E4" s="84"/>
      <c r="F4" s="84"/>
      <c r="G4" s="80"/>
      <c r="H4" s="81"/>
      <c r="I4" s="82"/>
      <c r="J4" s="80"/>
      <c r="K4" s="80"/>
      <c r="L4" s="80"/>
      <c r="M4" s="84"/>
      <c r="N4" s="84"/>
      <c r="O4" s="83"/>
    </row>
    <row r="5" spans="1:15" ht="12.75">
      <c r="A5" s="85" t="s">
        <v>715</v>
      </c>
      <c r="B5" s="86">
        <f>3000</f>
        <v>3000</v>
      </c>
      <c r="C5" s="86">
        <v>60</v>
      </c>
      <c r="D5" s="86"/>
      <c r="E5" s="86">
        <f>C5+D5</f>
        <v>60</v>
      </c>
      <c r="F5" s="86"/>
      <c r="G5" s="86">
        <f>3000</f>
        <v>3000</v>
      </c>
      <c r="H5" s="87" t="s">
        <v>716</v>
      </c>
      <c r="I5" s="88"/>
      <c r="J5" s="89">
        <f>160*0+2012/2012*200*0+2013/2013*(903/903*2343/2343*-250*0+103/103*2119/2119*250)</f>
        <v>250</v>
      </c>
      <c r="K5" s="86">
        <f>J5</f>
        <v>250</v>
      </c>
      <c r="L5" s="86"/>
      <c r="M5" s="86">
        <f>K5+L5</f>
        <v>250</v>
      </c>
      <c r="N5" s="86"/>
      <c r="O5" s="90">
        <v>250</v>
      </c>
    </row>
    <row r="6" spans="1:15" ht="12.75">
      <c r="A6" s="91" t="s">
        <v>717</v>
      </c>
      <c r="B6" s="86"/>
      <c r="C6" s="86"/>
      <c r="D6" s="86">
        <f>6/6*360</f>
        <v>360</v>
      </c>
      <c r="E6" s="86">
        <f>C6+D6</f>
        <v>360</v>
      </c>
      <c r="F6" s="86"/>
      <c r="G6" s="86"/>
      <c r="H6" s="92"/>
      <c r="I6" s="88"/>
      <c r="J6" s="89"/>
      <c r="K6" s="86"/>
      <c r="L6" s="86"/>
      <c r="M6" s="86"/>
      <c r="N6" s="86"/>
      <c r="O6" s="90"/>
    </row>
    <row r="7" spans="1:15" ht="12.75" hidden="1">
      <c r="A7" s="85" t="s">
        <v>718</v>
      </c>
      <c r="B7" s="86"/>
      <c r="C7" s="86"/>
      <c r="D7" s="86"/>
      <c r="E7" s="86"/>
      <c r="F7" s="86"/>
      <c r="G7" s="86"/>
      <c r="H7" s="93"/>
      <c r="I7" s="88"/>
      <c r="J7" s="94"/>
      <c r="K7" s="86"/>
      <c r="L7" s="86"/>
      <c r="M7" s="86"/>
      <c r="N7" s="86"/>
      <c r="O7" s="90"/>
    </row>
    <row r="8" spans="1:15" ht="12.75">
      <c r="A8" s="95" t="s">
        <v>719</v>
      </c>
      <c r="B8" s="96">
        <f aca="true" t="shared" si="0" ref="B8:G8">SUM(B5:B7)</f>
        <v>3000</v>
      </c>
      <c r="C8" s="97">
        <f t="shared" si="0"/>
        <v>60</v>
      </c>
      <c r="D8" s="96">
        <f t="shared" si="0"/>
        <v>360</v>
      </c>
      <c r="E8" s="96">
        <f t="shared" si="0"/>
        <v>420</v>
      </c>
      <c r="F8" s="96">
        <f t="shared" si="0"/>
        <v>0</v>
      </c>
      <c r="G8" s="96">
        <f t="shared" si="0"/>
        <v>3000</v>
      </c>
      <c r="H8" s="93"/>
      <c r="I8" s="88"/>
      <c r="J8" s="98">
        <f aca="true" t="shared" si="1" ref="J8:O8">SUM(J5:J7)</f>
        <v>250</v>
      </c>
      <c r="K8" s="96">
        <f t="shared" si="1"/>
        <v>250</v>
      </c>
      <c r="L8" s="96">
        <f t="shared" si="1"/>
        <v>0</v>
      </c>
      <c r="M8" s="96">
        <f t="shared" si="1"/>
        <v>250</v>
      </c>
      <c r="N8" s="96">
        <f t="shared" si="1"/>
        <v>0</v>
      </c>
      <c r="O8" s="99">
        <f t="shared" si="1"/>
        <v>250</v>
      </c>
    </row>
    <row r="9" spans="1:15" ht="12.75">
      <c r="A9" s="85" t="s">
        <v>720</v>
      </c>
      <c r="B9" s="86">
        <f>100</f>
        <v>100</v>
      </c>
      <c r="C9" s="86">
        <f>B9-26+12</f>
        <v>86</v>
      </c>
      <c r="D9" s="86"/>
      <c r="E9" s="86">
        <f>C9+D9</f>
        <v>86</v>
      </c>
      <c r="F9" s="86"/>
      <c r="G9" s="86">
        <f>100</f>
        <v>100</v>
      </c>
      <c r="H9" s="93"/>
      <c r="I9" s="88"/>
      <c r="J9" s="94"/>
      <c r="K9" s="100"/>
      <c r="L9" s="100"/>
      <c r="M9" s="100"/>
      <c r="N9" s="86"/>
      <c r="O9" s="90"/>
    </row>
    <row r="10" spans="1:15" ht="12.75">
      <c r="A10" s="85" t="s">
        <v>721</v>
      </c>
      <c r="B10" s="86">
        <f>2321/2321*(50+100)+3722/3722*500*0+2013/2013*621</f>
        <v>771</v>
      </c>
      <c r="C10" s="86">
        <f>B10+621-96.4-238.8</f>
        <v>1056.8</v>
      </c>
      <c r="D10" s="86">
        <f>81/81*1/1*4000</f>
        <v>4000</v>
      </c>
      <c r="E10" s="86">
        <f>C10+D10</f>
        <v>5056.8</v>
      </c>
      <c r="F10" s="86"/>
      <c r="G10" s="86">
        <v>150</v>
      </c>
      <c r="H10" s="93"/>
      <c r="I10" s="88"/>
      <c r="J10" s="94"/>
      <c r="K10" s="100"/>
      <c r="L10" s="100"/>
      <c r="M10" s="100"/>
      <c r="N10" s="86"/>
      <c r="O10" s="90"/>
    </row>
    <row r="11" spans="1:15" ht="12.75">
      <c r="A11" s="85" t="s">
        <v>718</v>
      </c>
      <c r="B11" s="86"/>
      <c r="C11" s="86"/>
      <c r="D11" s="86"/>
      <c r="E11" s="86">
        <f>C11+D11</f>
        <v>0</v>
      </c>
      <c r="F11" s="86"/>
      <c r="G11" s="86"/>
      <c r="H11" s="93"/>
      <c r="I11" s="88"/>
      <c r="J11" s="94"/>
      <c r="K11" s="100"/>
      <c r="L11" s="100"/>
      <c r="M11" s="100"/>
      <c r="N11" s="86"/>
      <c r="O11" s="90"/>
    </row>
    <row r="12" spans="1:15" ht="12.75">
      <c r="A12" s="85" t="s">
        <v>722</v>
      </c>
      <c r="B12" s="86">
        <f>100+100</f>
        <v>200</v>
      </c>
      <c r="C12" s="86">
        <f>B12</f>
        <v>200</v>
      </c>
      <c r="D12" s="86">
        <f>10/10*53.2</f>
        <v>53.2</v>
      </c>
      <c r="E12" s="86">
        <f>C12+D12</f>
        <v>253.2</v>
      </c>
      <c r="F12" s="86"/>
      <c r="G12" s="86">
        <v>200</v>
      </c>
      <c r="H12" s="93"/>
      <c r="I12" s="88"/>
      <c r="J12" s="94"/>
      <c r="K12" s="100"/>
      <c r="L12" s="100"/>
      <c r="M12" s="100"/>
      <c r="N12" s="86"/>
      <c r="O12" s="90"/>
    </row>
    <row r="13" spans="1:15" ht="12.75">
      <c r="A13" s="91" t="s">
        <v>723</v>
      </c>
      <c r="B13" s="86"/>
      <c r="C13" s="86"/>
      <c r="D13" s="86">
        <f>6/6*168</f>
        <v>168</v>
      </c>
      <c r="E13" s="86">
        <f>C13+D13</f>
        <v>168</v>
      </c>
      <c r="F13" s="86"/>
      <c r="G13" s="86"/>
      <c r="H13" s="93"/>
      <c r="I13" s="88"/>
      <c r="J13" s="94"/>
      <c r="K13" s="100"/>
      <c r="L13" s="100"/>
      <c r="M13" s="100"/>
      <c r="N13" s="86"/>
      <c r="O13" s="90"/>
    </row>
    <row r="14" spans="1:15" ht="12.75">
      <c r="A14" s="95" t="s">
        <v>724</v>
      </c>
      <c r="B14" s="96">
        <f aca="true" t="shared" si="2" ref="B14:G14">SUM(B9:B13)</f>
        <v>1071</v>
      </c>
      <c r="C14" s="96">
        <f t="shared" si="2"/>
        <v>1342.8</v>
      </c>
      <c r="D14" s="96">
        <f t="shared" si="2"/>
        <v>4221.2</v>
      </c>
      <c r="E14" s="96">
        <f t="shared" si="2"/>
        <v>5564</v>
      </c>
      <c r="F14" s="96">
        <f t="shared" si="2"/>
        <v>0</v>
      </c>
      <c r="G14" s="96">
        <f t="shared" si="2"/>
        <v>450</v>
      </c>
      <c r="H14" s="93"/>
      <c r="I14" s="101"/>
      <c r="J14" s="98">
        <f aca="true" t="shared" si="3" ref="J14:O14">SUM(J9:J13)</f>
        <v>0</v>
      </c>
      <c r="K14" s="96">
        <f t="shared" si="3"/>
        <v>0</v>
      </c>
      <c r="L14" s="96">
        <f t="shared" si="3"/>
        <v>0</v>
      </c>
      <c r="M14" s="96">
        <f t="shared" si="3"/>
        <v>0</v>
      </c>
      <c r="N14" s="96">
        <f t="shared" si="3"/>
        <v>0</v>
      </c>
      <c r="O14" s="99">
        <f t="shared" si="3"/>
        <v>0</v>
      </c>
    </row>
    <row r="15" spans="1:15" ht="19.5">
      <c r="A15" s="85" t="s">
        <v>725</v>
      </c>
      <c r="B15" s="86">
        <f>500-300+400</f>
        <v>600</v>
      </c>
      <c r="C15" s="86">
        <f>B15+97</f>
        <v>697</v>
      </c>
      <c r="D15" s="86"/>
      <c r="E15" s="86">
        <f>C15+D15</f>
        <v>697</v>
      </c>
      <c r="F15" s="86"/>
      <c r="G15" s="86">
        <v>600</v>
      </c>
      <c r="H15" s="102" t="s">
        <v>726</v>
      </c>
      <c r="I15" s="103"/>
      <c r="J15" s="94"/>
      <c r="K15" s="100"/>
      <c r="L15" s="100"/>
      <c r="M15" s="100"/>
      <c r="N15" s="86"/>
      <c r="O15" s="90"/>
    </row>
    <row r="16" spans="1:15" ht="19.5">
      <c r="A16" s="85" t="s">
        <v>727</v>
      </c>
      <c r="B16" s="86">
        <f>100+2013/2013*(200+650-2013/2013*621)</f>
        <v>329</v>
      </c>
      <c r="C16" s="86">
        <f>B16+24+469-406</f>
        <v>416</v>
      </c>
      <c r="D16" s="86">
        <v>444.4</v>
      </c>
      <c r="E16" s="86">
        <f>C16+D16</f>
        <v>860.4</v>
      </c>
      <c r="F16" s="86"/>
      <c r="G16" s="86">
        <v>950</v>
      </c>
      <c r="H16" s="102" t="s">
        <v>728</v>
      </c>
      <c r="I16" s="88"/>
      <c r="J16" s="94"/>
      <c r="K16" s="100"/>
      <c r="L16" s="100"/>
      <c r="M16" s="100"/>
      <c r="N16" s="86"/>
      <c r="O16" s="90"/>
    </row>
    <row r="17" spans="1:15" ht="12.75">
      <c r="A17" s="91" t="s">
        <v>729</v>
      </c>
      <c r="B17" s="86"/>
      <c r="C17" s="86">
        <f>B17+73</f>
        <v>73</v>
      </c>
      <c r="D17" s="86">
        <f>6/6*140</f>
        <v>140</v>
      </c>
      <c r="E17" s="86">
        <f>C17+D17</f>
        <v>213</v>
      </c>
      <c r="F17" s="86"/>
      <c r="G17" s="104"/>
      <c r="H17" s="105"/>
      <c r="I17" s="88"/>
      <c r="J17" s="94"/>
      <c r="K17" s="100"/>
      <c r="L17" s="100"/>
      <c r="M17" s="100"/>
      <c r="N17" s="86"/>
      <c r="O17" s="90"/>
    </row>
    <row r="18" spans="1:15" ht="12.75">
      <c r="A18" s="95" t="s">
        <v>730</v>
      </c>
      <c r="B18" s="96">
        <f aca="true" t="shared" si="4" ref="B18:G18">SUM(B15:B17)</f>
        <v>929</v>
      </c>
      <c r="C18" s="97">
        <f t="shared" si="4"/>
        <v>1186</v>
      </c>
      <c r="D18" s="97">
        <f t="shared" si="4"/>
        <v>584.4</v>
      </c>
      <c r="E18" s="97">
        <f t="shared" si="4"/>
        <v>1770.4</v>
      </c>
      <c r="F18" s="96">
        <f t="shared" si="4"/>
        <v>0</v>
      </c>
      <c r="G18" s="96">
        <f t="shared" si="4"/>
        <v>1550</v>
      </c>
      <c r="H18" s="105"/>
      <c r="I18" s="101"/>
      <c r="J18" s="98">
        <f aca="true" t="shared" si="5" ref="J18:O18">SUM(J15:J17)</f>
        <v>0</v>
      </c>
      <c r="K18" s="96">
        <f t="shared" si="5"/>
        <v>0</v>
      </c>
      <c r="L18" s="96">
        <f t="shared" si="5"/>
        <v>0</v>
      </c>
      <c r="M18" s="96">
        <f t="shared" si="5"/>
        <v>0</v>
      </c>
      <c r="N18" s="96">
        <f t="shared" si="5"/>
        <v>0</v>
      </c>
      <c r="O18" s="99">
        <f t="shared" si="5"/>
        <v>0</v>
      </c>
    </row>
    <row r="19" spans="1:15" ht="12.75">
      <c r="A19" s="85" t="s">
        <v>731</v>
      </c>
      <c r="B19" s="104">
        <f>(1580*1.05+1-1660*0)*(1+0.015*5)+15.1*0-1700*0+5.5-1790*0+(2500+200)*0+1790*1.05+0.5-1790</f>
        <v>1880</v>
      </c>
      <c r="C19" s="86">
        <f>B19+1424+114+33</f>
        <v>3451</v>
      </c>
      <c r="D19" s="86"/>
      <c r="E19" s="86">
        <f aca="true" t="shared" si="6" ref="E19:E26">C19+D19</f>
        <v>3451</v>
      </c>
      <c r="F19" s="86"/>
      <c r="G19" s="104">
        <v>1974</v>
      </c>
      <c r="H19" s="106"/>
      <c r="I19" s="107"/>
      <c r="J19" s="108"/>
      <c r="K19" s="86"/>
      <c r="L19" s="86"/>
      <c r="M19" s="86"/>
      <c r="N19" s="86"/>
      <c r="O19" s="109"/>
    </row>
    <row r="20" spans="1:15" ht="12.75">
      <c r="A20" s="91" t="s">
        <v>732</v>
      </c>
      <c r="B20" s="86"/>
      <c r="C20" s="86"/>
      <c r="D20" s="86">
        <f>6/6*(72+92)</f>
        <v>164</v>
      </c>
      <c r="E20" s="86">
        <f t="shared" si="6"/>
        <v>164</v>
      </c>
      <c r="F20" s="86"/>
      <c r="G20" s="104"/>
      <c r="H20" s="106"/>
      <c r="I20" s="88"/>
      <c r="J20" s="94"/>
      <c r="K20" s="86"/>
      <c r="L20" s="86"/>
      <c r="M20" s="86"/>
      <c r="N20" s="86"/>
      <c r="O20" s="109"/>
    </row>
    <row r="21" spans="1:15" ht="12.75">
      <c r="A21" s="85" t="s">
        <v>733</v>
      </c>
      <c r="B21" s="104">
        <f>(3750*1.05+2.5-3940*0)*(1+0.015*5)+0.9*0-4000*0+4.5-4240+4240*1.05</f>
        <v>4452</v>
      </c>
      <c r="C21" s="86">
        <f>B21+456+8+94.4+165</f>
        <v>5175.4</v>
      </c>
      <c r="D21" s="86">
        <f>3/3*332.6+4/4*70</f>
        <v>402.6</v>
      </c>
      <c r="E21" s="86">
        <f t="shared" si="6"/>
        <v>5578</v>
      </c>
      <c r="F21" s="86"/>
      <c r="G21" s="104">
        <v>4675</v>
      </c>
      <c r="H21" s="102" t="s">
        <v>734</v>
      </c>
      <c r="I21" s="110" t="s">
        <v>735</v>
      </c>
      <c r="J21" s="108">
        <f>(537*0+2012/2012*(617*0+619))*(1397*0+1375*0+2012/2012*1360.2*0*2013/2013)/1000-0.375*0-0.2434*0+2012/2012*0.0362*0</f>
        <v>0</v>
      </c>
      <c r="K21" s="86"/>
      <c r="L21" s="86">
        <f>3/3*332.6+4/4*70</f>
        <v>402.6</v>
      </c>
      <c r="M21" s="86">
        <f>K21+L21</f>
        <v>402.6</v>
      </c>
      <c r="N21" s="86"/>
      <c r="O21" s="109"/>
    </row>
    <row r="22" spans="1:15" ht="12.75">
      <c r="A22" s="91" t="s">
        <v>736</v>
      </c>
      <c r="B22" s="86"/>
      <c r="C22" s="86"/>
      <c r="D22" s="86">
        <f>6/6*(90+205)</f>
        <v>295</v>
      </c>
      <c r="E22" s="86">
        <f t="shared" si="6"/>
        <v>295</v>
      </c>
      <c r="F22" s="86"/>
      <c r="G22" s="104"/>
      <c r="H22" s="106"/>
      <c r="I22" s="111"/>
      <c r="J22" s="94"/>
      <c r="K22" s="86"/>
      <c r="L22" s="86"/>
      <c r="M22" s="86"/>
      <c r="N22" s="86"/>
      <c r="O22" s="109"/>
    </row>
    <row r="23" spans="1:15" ht="12.75">
      <c r="A23" s="112" t="s">
        <v>815</v>
      </c>
      <c r="B23" s="86"/>
      <c r="C23" s="86"/>
      <c r="D23" s="86">
        <f>6/6*23/2</f>
        <v>11.5</v>
      </c>
      <c r="E23" s="86">
        <f t="shared" si="6"/>
        <v>11.5</v>
      </c>
      <c r="F23" s="86"/>
      <c r="G23" s="104"/>
      <c r="H23" s="106"/>
      <c r="I23" s="111"/>
      <c r="J23" s="94"/>
      <c r="K23" s="86"/>
      <c r="L23" s="86"/>
      <c r="M23" s="86"/>
      <c r="N23" s="86"/>
      <c r="O23" s="109"/>
    </row>
    <row r="24" spans="1:15" ht="12.75">
      <c r="A24" s="85" t="s">
        <v>737</v>
      </c>
      <c r="B24" s="104">
        <f>(1050*1.05-2.5-1100*0)*(1+0.015*5)+3.5*0-1120*0+7.5-1190+1190*1.05+0.5</f>
        <v>1250</v>
      </c>
      <c r="C24" s="86">
        <f>B24+36</f>
        <v>1286</v>
      </c>
      <c r="D24" s="86"/>
      <c r="E24" s="86">
        <f t="shared" si="6"/>
        <v>1286</v>
      </c>
      <c r="F24" s="86"/>
      <c r="G24" s="104">
        <v>1312</v>
      </c>
      <c r="H24" s="106"/>
      <c r="I24" s="113"/>
      <c r="J24" s="94"/>
      <c r="K24" s="86"/>
      <c r="L24" s="86"/>
      <c r="M24" s="86"/>
      <c r="N24" s="86"/>
      <c r="O24" s="109"/>
    </row>
    <row r="25" spans="1:15" ht="12.75">
      <c r="A25" s="85" t="s">
        <v>738</v>
      </c>
      <c r="B25" s="114"/>
      <c r="C25" s="86">
        <f>B25+6</f>
        <v>6</v>
      </c>
      <c r="D25" s="114"/>
      <c r="E25" s="86">
        <f t="shared" si="6"/>
        <v>6</v>
      </c>
      <c r="F25" s="86"/>
      <c r="G25" s="114"/>
      <c r="H25" s="106"/>
      <c r="I25" s="111"/>
      <c r="J25" s="94"/>
      <c r="K25" s="86"/>
      <c r="L25" s="114"/>
      <c r="M25" s="86"/>
      <c r="N25" s="86"/>
      <c r="O25" s="90"/>
    </row>
    <row r="26" spans="1:15" ht="12.75">
      <c r="A26" s="112" t="s">
        <v>868</v>
      </c>
      <c r="B26" s="114"/>
      <c r="C26" s="86">
        <f>B26+740.5</f>
        <v>740.5</v>
      </c>
      <c r="D26" s="86">
        <f>6/6*138.1+2012/2012*23/2+10/10*180.5</f>
        <v>330.1</v>
      </c>
      <c r="E26" s="86">
        <f t="shared" si="6"/>
        <v>1070.6</v>
      </c>
      <c r="F26" s="86"/>
      <c r="G26" s="114"/>
      <c r="H26" s="115"/>
      <c r="I26" s="111"/>
      <c r="J26" s="94"/>
      <c r="K26" s="86"/>
      <c r="L26" s="114"/>
      <c r="M26" s="86"/>
      <c r="N26" s="86"/>
      <c r="O26" s="90"/>
    </row>
    <row r="27" spans="1:15" ht="12.75">
      <c r="A27" s="95" t="s">
        <v>739</v>
      </c>
      <c r="B27" s="96">
        <f aca="true" t="shared" si="7" ref="B27:G27">SUM(B19:B26)</f>
        <v>7582</v>
      </c>
      <c r="C27" s="96">
        <f t="shared" si="7"/>
        <v>10658.9</v>
      </c>
      <c r="D27" s="116">
        <f t="shared" si="7"/>
        <v>1203.2</v>
      </c>
      <c r="E27" s="96">
        <f t="shared" si="7"/>
        <v>11862.1</v>
      </c>
      <c r="F27" s="96">
        <f t="shared" si="7"/>
        <v>0</v>
      </c>
      <c r="G27" s="116">
        <f t="shared" si="7"/>
        <v>7961</v>
      </c>
      <c r="H27" s="105"/>
      <c r="I27" s="117"/>
      <c r="J27" s="98">
        <f aca="true" t="shared" si="8" ref="J27:O27">SUM(J19:J26)</f>
        <v>0</v>
      </c>
      <c r="K27" s="96">
        <f t="shared" si="8"/>
        <v>0</v>
      </c>
      <c r="L27" s="116">
        <f t="shared" si="8"/>
        <v>402.6</v>
      </c>
      <c r="M27" s="96">
        <f t="shared" si="8"/>
        <v>402.6</v>
      </c>
      <c r="N27" s="96">
        <f t="shared" si="8"/>
        <v>0</v>
      </c>
      <c r="O27" s="99">
        <f t="shared" si="8"/>
        <v>0</v>
      </c>
    </row>
    <row r="28" spans="1:15" ht="12.75">
      <c r="A28" s="85" t="s">
        <v>740</v>
      </c>
      <c r="B28" s="86">
        <f>100+160</f>
        <v>260</v>
      </c>
      <c r="C28" s="86">
        <f>B28-6</f>
        <v>254</v>
      </c>
      <c r="D28" s="86"/>
      <c r="E28" s="86">
        <f aca="true" t="shared" si="9" ref="E28:E44">C28+D28</f>
        <v>254</v>
      </c>
      <c r="F28" s="118"/>
      <c r="G28" s="86">
        <f>100+260</f>
        <v>360</v>
      </c>
      <c r="H28" s="115"/>
      <c r="I28" s="119"/>
      <c r="J28" s="94"/>
      <c r="K28" s="86"/>
      <c r="L28" s="86"/>
      <c r="M28" s="118"/>
      <c r="N28" s="118"/>
      <c r="O28" s="90"/>
    </row>
    <row r="29" spans="1:15" ht="12.75">
      <c r="A29" s="91" t="s">
        <v>741</v>
      </c>
      <c r="B29" s="86"/>
      <c r="C29" s="86"/>
      <c r="D29" s="86">
        <f>6/6*(583+170)</f>
        <v>753</v>
      </c>
      <c r="E29" s="86">
        <f t="shared" si="9"/>
        <v>753</v>
      </c>
      <c r="F29" s="118"/>
      <c r="G29" s="86"/>
      <c r="H29" s="115"/>
      <c r="I29" s="119"/>
      <c r="J29" s="94"/>
      <c r="K29" s="86"/>
      <c r="L29" s="86"/>
      <c r="M29" s="118"/>
      <c r="N29" s="118"/>
      <c r="O29" s="90"/>
    </row>
    <row r="30" spans="1:15" ht="12.75">
      <c r="A30" s="112" t="s">
        <v>742</v>
      </c>
      <c r="B30" s="114"/>
      <c r="C30" s="86"/>
      <c r="D30" s="86">
        <f>6/6*36+10/10*(1/1*(54+10)+2/2*(42+26))</f>
        <v>168</v>
      </c>
      <c r="E30" s="86">
        <f t="shared" si="9"/>
        <v>168</v>
      </c>
      <c r="F30" s="120"/>
      <c r="G30" s="86"/>
      <c r="H30" s="121"/>
      <c r="I30" s="111"/>
      <c r="J30" s="94"/>
      <c r="K30" s="86"/>
      <c r="L30" s="114"/>
      <c r="M30" s="120"/>
      <c r="N30" s="120"/>
      <c r="O30" s="90"/>
    </row>
    <row r="31" spans="1:15" ht="12.75">
      <c r="A31" s="85" t="s">
        <v>743</v>
      </c>
      <c r="B31" s="122">
        <f>12*121*(12*20)/1000+1.52</f>
        <v>350</v>
      </c>
      <c r="C31" s="86">
        <f>B31</f>
        <v>350</v>
      </c>
      <c r="D31" s="86"/>
      <c r="E31" s="86">
        <f t="shared" si="9"/>
        <v>350</v>
      </c>
      <c r="F31" s="86"/>
      <c r="G31" s="122">
        <f>12*121*(12*20)/1000+1.52</f>
        <v>350</v>
      </c>
      <c r="H31" s="106"/>
      <c r="I31" s="113"/>
      <c r="J31" s="94"/>
      <c r="K31" s="86"/>
      <c r="L31" s="86"/>
      <c r="M31" s="86"/>
      <c r="N31" s="86"/>
      <c r="O31" s="90"/>
    </row>
    <row r="32" spans="1:15" ht="12.75">
      <c r="A32" s="85" t="s">
        <v>744</v>
      </c>
      <c r="B32" s="122">
        <f>2446*1.1+9.4</f>
        <v>2700.0000000000005</v>
      </c>
      <c r="C32" s="86">
        <f>B32+68-8</f>
        <v>2760.0000000000005</v>
      </c>
      <c r="D32" s="86">
        <f>10/10*36</f>
        <v>36</v>
      </c>
      <c r="E32" s="86">
        <f t="shared" si="9"/>
        <v>2796.0000000000005</v>
      </c>
      <c r="F32" s="86"/>
      <c r="G32" s="122">
        <f>3458-G28-G31</f>
        <v>2748</v>
      </c>
      <c r="H32" s="106"/>
      <c r="I32" s="113"/>
      <c r="J32" s="123">
        <f>440*1.05+8-470+500</f>
        <v>500</v>
      </c>
      <c r="K32" s="86">
        <f>J32</f>
        <v>500</v>
      </c>
      <c r="L32" s="86"/>
      <c r="M32" s="86">
        <f>K32+L32</f>
        <v>500</v>
      </c>
      <c r="N32" s="86"/>
      <c r="O32" s="124">
        <v>500</v>
      </c>
    </row>
    <row r="33" spans="1:15" ht="12.75">
      <c r="A33" s="85" t="s">
        <v>745</v>
      </c>
      <c r="B33" s="122"/>
      <c r="C33" s="86"/>
      <c r="D33" s="86">
        <f>4/4*180.3+9/9*(390+98+35)</f>
        <v>703.3</v>
      </c>
      <c r="E33" s="86">
        <f t="shared" si="9"/>
        <v>703.3</v>
      </c>
      <c r="F33" s="86"/>
      <c r="G33" s="122"/>
      <c r="H33" s="106"/>
      <c r="I33" s="110" t="s">
        <v>735</v>
      </c>
      <c r="J33" s="123"/>
      <c r="K33" s="86"/>
      <c r="L33" s="86">
        <f>4/4*180.3</f>
        <v>180.3</v>
      </c>
      <c r="M33" s="86">
        <f>K33+L33</f>
        <v>180.3</v>
      </c>
      <c r="N33" s="86"/>
      <c r="O33" s="109"/>
    </row>
    <row r="34" spans="1:15" ht="12.75">
      <c r="A34" s="85" t="s">
        <v>746</v>
      </c>
      <c r="B34" s="122"/>
      <c r="C34" s="86"/>
      <c r="D34" s="86">
        <f>4/4*50</f>
        <v>50</v>
      </c>
      <c r="E34" s="86">
        <f t="shared" si="9"/>
        <v>50</v>
      </c>
      <c r="F34" s="86"/>
      <c r="G34" s="122"/>
      <c r="H34" s="106"/>
      <c r="I34" s="110" t="s">
        <v>735</v>
      </c>
      <c r="J34" s="123"/>
      <c r="K34" s="86"/>
      <c r="L34" s="86">
        <f>4/4*50</f>
        <v>50</v>
      </c>
      <c r="M34" s="86">
        <f>K34+L34</f>
        <v>50</v>
      </c>
      <c r="N34" s="86"/>
      <c r="O34" s="109"/>
    </row>
    <row r="35" spans="1:15" ht="12.75">
      <c r="A35" s="85" t="s">
        <v>747</v>
      </c>
      <c r="B35" s="122"/>
      <c r="C35" s="86">
        <f>B35+1602+2</f>
        <v>1604</v>
      </c>
      <c r="D35" s="122"/>
      <c r="E35" s="86">
        <f t="shared" si="9"/>
        <v>1604</v>
      </c>
      <c r="F35" s="86"/>
      <c r="G35" s="122"/>
      <c r="H35" s="115"/>
      <c r="I35" s="125"/>
      <c r="J35" s="108"/>
      <c r="K35" s="86"/>
      <c r="L35" s="122"/>
      <c r="M35" s="86"/>
      <c r="N35" s="86"/>
      <c r="O35" s="90"/>
    </row>
    <row r="36" spans="1:15" ht="12.75">
      <c r="A36" s="85" t="s">
        <v>748</v>
      </c>
      <c r="B36" s="122"/>
      <c r="C36" s="86"/>
      <c r="D36" s="122"/>
      <c r="E36" s="86">
        <f t="shared" si="9"/>
        <v>0</v>
      </c>
      <c r="F36" s="86"/>
      <c r="G36" s="122"/>
      <c r="H36" s="115"/>
      <c r="I36" s="125"/>
      <c r="J36" s="108"/>
      <c r="K36" s="86"/>
      <c r="L36" s="122"/>
      <c r="M36" s="86"/>
      <c r="N36" s="86"/>
      <c r="O36" s="90"/>
    </row>
    <row r="37" spans="1:15" ht="12.75">
      <c r="A37" s="126" t="s">
        <v>749</v>
      </c>
      <c r="B37" s="122"/>
      <c r="C37" s="86"/>
      <c r="D37" s="122"/>
      <c r="E37" s="86">
        <f t="shared" si="9"/>
        <v>0</v>
      </c>
      <c r="F37" s="86"/>
      <c r="G37" s="86"/>
      <c r="H37" s="115"/>
      <c r="I37" s="125"/>
      <c r="J37" s="108"/>
      <c r="K37" s="86"/>
      <c r="L37" s="122"/>
      <c r="M37" s="86"/>
      <c r="N37" s="86"/>
      <c r="O37" s="90"/>
    </row>
    <row r="38" spans="1:15" ht="12.75">
      <c r="A38" s="85" t="s">
        <v>750</v>
      </c>
      <c r="B38" s="86">
        <v>50</v>
      </c>
      <c r="C38" s="86">
        <f>B38</f>
        <v>50</v>
      </c>
      <c r="D38" s="86"/>
      <c r="E38" s="86">
        <f t="shared" si="9"/>
        <v>50</v>
      </c>
      <c r="F38" s="86"/>
      <c r="G38" s="86">
        <f>50*0</f>
        <v>0</v>
      </c>
      <c r="H38" s="115"/>
      <c r="I38" s="88"/>
      <c r="J38" s="94"/>
      <c r="K38" s="86"/>
      <c r="L38" s="86"/>
      <c r="M38" s="86"/>
      <c r="N38" s="86"/>
      <c r="O38" s="90"/>
    </row>
    <row r="39" spans="1:15" ht="12.75">
      <c r="A39" s="85" t="s">
        <v>751</v>
      </c>
      <c r="B39" s="86">
        <v>30</v>
      </c>
      <c r="C39" s="86">
        <f>B39+7</f>
        <v>37</v>
      </c>
      <c r="D39" s="86"/>
      <c r="E39" s="86">
        <f t="shared" si="9"/>
        <v>37</v>
      </c>
      <c r="F39" s="86"/>
      <c r="G39" s="86">
        <v>30</v>
      </c>
      <c r="H39" s="115"/>
      <c r="I39" s="88"/>
      <c r="J39" s="94"/>
      <c r="K39" s="86"/>
      <c r="L39" s="86"/>
      <c r="M39" s="86"/>
      <c r="N39" s="86"/>
      <c r="O39" s="90"/>
    </row>
    <row r="40" spans="1:15" ht="12.75">
      <c r="A40" s="85" t="s">
        <v>752</v>
      </c>
      <c r="B40" s="86"/>
      <c r="C40" s="86"/>
      <c r="D40" s="86"/>
      <c r="E40" s="86">
        <f t="shared" si="9"/>
        <v>0</v>
      </c>
      <c r="F40" s="86"/>
      <c r="G40" s="86">
        <v>50</v>
      </c>
      <c r="H40" s="115"/>
      <c r="I40" s="88"/>
      <c r="J40" s="94"/>
      <c r="K40" s="86"/>
      <c r="L40" s="86"/>
      <c r="M40" s="86"/>
      <c r="N40" s="86"/>
      <c r="O40" s="90"/>
    </row>
    <row r="41" spans="1:15" ht="12.75">
      <c r="A41" s="112" t="s">
        <v>753</v>
      </c>
      <c r="B41" s="114"/>
      <c r="C41" s="86"/>
      <c r="D41" s="86">
        <f>6/6*11</f>
        <v>11</v>
      </c>
      <c r="E41" s="86">
        <f t="shared" si="9"/>
        <v>11</v>
      </c>
      <c r="F41" s="86"/>
      <c r="G41" s="86"/>
      <c r="H41" s="115"/>
      <c r="I41" s="88"/>
      <c r="J41" s="94"/>
      <c r="K41" s="86"/>
      <c r="L41" s="114"/>
      <c r="M41" s="86"/>
      <c r="N41" s="86"/>
      <c r="O41" s="90"/>
    </row>
    <row r="42" spans="1:15" ht="12.75">
      <c r="A42" s="127" t="s">
        <v>754</v>
      </c>
      <c r="B42" s="86">
        <v>0</v>
      </c>
      <c r="C42" s="86"/>
      <c r="D42" s="86">
        <v>196</v>
      </c>
      <c r="E42" s="86">
        <f t="shared" si="9"/>
        <v>196</v>
      </c>
      <c r="F42" s="86"/>
      <c r="G42" s="86"/>
      <c r="H42" s="115"/>
      <c r="I42" s="88"/>
      <c r="J42" s="94"/>
      <c r="K42" s="86"/>
      <c r="L42" s="86"/>
      <c r="M42" s="86"/>
      <c r="N42" s="86"/>
      <c r="O42" s="90"/>
    </row>
    <row r="43" spans="1:15" ht="12.75">
      <c r="A43" s="112" t="s">
        <v>755</v>
      </c>
      <c r="B43" s="114"/>
      <c r="C43" s="86"/>
      <c r="D43" s="86">
        <f>6/6*11</f>
        <v>11</v>
      </c>
      <c r="E43" s="86">
        <f t="shared" si="9"/>
        <v>11</v>
      </c>
      <c r="F43" s="86"/>
      <c r="G43" s="86"/>
      <c r="H43" s="115"/>
      <c r="I43" s="88"/>
      <c r="J43" s="94"/>
      <c r="K43" s="86"/>
      <c r="L43" s="114"/>
      <c r="M43" s="86"/>
      <c r="N43" s="86"/>
      <c r="O43" s="90"/>
    </row>
    <row r="44" spans="1:15" ht="12.75">
      <c r="A44" s="85" t="s">
        <v>756</v>
      </c>
      <c r="B44" s="86">
        <f>100+50</f>
        <v>150</v>
      </c>
      <c r="C44" s="86">
        <f>B44</f>
        <v>150</v>
      </c>
      <c r="D44" s="86">
        <f>6/6*(24+26)</f>
        <v>50</v>
      </c>
      <c r="E44" s="86">
        <f t="shared" si="9"/>
        <v>200</v>
      </c>
      <c r="F44" s="86"/>
      <c r="G44" s="86">
        <f>100+50</f>
        <v>150</v>
      </c>
      <c r="H44" s="115"/>
      <c r="I44" s="111" t="s">
        <v>757</v>
      </c>
      <c r="J44" s="94"/>
      <c r="K44" s="86"/>
      <c r="L44" s="86">
        <f>6/6*(24+26)</f>
        <v>50</v>
      </c>
      <c r="M44" s="86">
        <f>K44+L44</f>
        <v>50</v>
      </c>
      <c r="N44" s="86"/>
      <c r="O44" s="90"/>
    </row>
    <row r="45" spans="1:15" ht="12.75">
      <c r="A45" s="95" t="s">
        <v>758</v>
      </c>
      <c r="B45" s="96">
        <f aca="true" t="shared" si="10" ref="B45:G45">SUM(B28:B44)</f>
        <v>3540.0000000000005</v>
      </c>
      <c r="C45" s="97">
        <f t="shared" si="10"/>
        <v>5205</v>
      </c>
      <c r="D45" s="96">
        <f t="shared" si="10"/>
        <v>1978.3</v>
      </c>
      <c r="E45" s="96">
        <f t="shared" si="10"/>
        <v>7183.3</v>
      </c>
      <c r="F45" s="96">
        <f t="shared" si="10"/>
        <v>0</v>
      </c>
      <c r="G45" s="96">
        <f t="shared" si="10"/>
        <v>3688</v>
      </c>
      <c r="H45" s="105"/>
      <c r="I45" s="101"/>
      <c r="J45" s="98">
        <f aca="true" t="shared" si="11" ref="J45:O45">SUM(J28:J44)</f>
        <v>500</v>
      </c>
      <c r="K45" s="96">
        <f t="shared" si="11"/>
        <v>500</v>
      </c>
      <c r="L45" s="96">
        <f t="shared" si="11"/>
        <v>280.3</v>
      </c>
      <c r="M45" s="96">
        <f t="shared" si="11"/>
        <v>780.3</v>
      </c>
      <c r="N45" s="96">
        <f t="shared" si="11"/>
        <v>0</v>
      </c>
      <c r="O45" s="99">
        <f t="shared" si="11"/>
        <v>500</v>
      </c>
    </row>
    <row r="46" spans="1:15" ht="12.75">
      <c r="A46" s="85" t="s">
        <v>759</v>
      </c>
      <c r="B46" s="122">
        <f>860*0+746+3*81-3*35+500-1384+3/3*506+56-562+620</f>
        <v>620</v>
      </c>
      <c r="C46" s="86">
        <f>B46+31+19</f>
        <v>670</v>
      </c>
      <c r="D46" s="86"/>
      <c r="E46" s="86">
        <f aca="true" t="shared" si="12" ref="E46:E55">C46+D46</f>
        <v>670</v>
      </c>
      <c r="F46" s="86"/>
      <c r="G46" s="122">
        <v>624</v>
      </c>
      <c r="H46" s="106"/>
      <c r="I46" s="125"/>
      <c r="J46" s="94"/>
      <c r="K46" s="86"/>
      <c r="L46" s="86"/>
      <c r="M46" s="86"/>
      <c r="N46" s="86"/>
      <c r="O46" s="90"/>
    </row>
    <row r="47" spans="1:15" ht="12.75">
      <c r="A47" s="91" t="s">
        <v>760</v>
      </c>
      <c r="B47" s="86"/>
      <c r="C47" s="86"/>
      <c r="D47" s="86">
        <f>6/6*30</f>
        <v>30</v>
      </c>
      <c r="E47" s="86">
        <f t="shared" si="12"/>
        <v>30</v>
      </c>
      <c r="F47" s="86"/>
      <c r="G47" s="122"/>
      <c r="H47" s="106"/>
      <c r="I47" s="103"/>
      <c r="J47" s="94"/>
      <c r="K47" s="86"/>
      <c r="L47" s="86"/>
      <c r="M47" s="86"/>
      <c r="N47" s="86"/>
      <c r="O47" s="90"/>
    </row>
    <row r="48" spans="1:15" ht="12.75">
      <c r="A48" s="85" t="s">
        <v>761</v>
      </c>
      <c r="B48" s="122">
        <f>1865*0+1804+3*150-54-2200+2200*1.05</f>
        <v>2310</v>
      </c>
      <c r="C48" s="86">
        <f>B48+58-200</f>
        <v>2168</v>
      </c>
      <c r="D48" s="86">
        <f>2/2*52.6*81/81</f>
        <v>52.6</v>
      </c>
      <c r="E48" s="86">
        <f t="shared" si="12"/>
        <v>2220.6</v>
      </c>
      <c r="F48" s="86"/>
      <c r="G48" s="122">
        <v>2226</v>
      </c>
      <c r="H48" s="106"/>
      <c r="I48" s="125"/>
      <c r="J48" s="89">
        <f>123*1.05-4.15-125+150</f>
        <v>150</v>
      </c>
      <c r="K48" s="86">
        <f>J48</f>
        <v>150</v>
      </c>
      <c r="L48" s="86"/>
      <c r="M48" s="86">
        <f>K48+L48</f>
        <v>150</v>
      </c>
      <c r="N48" s="86"/>
      <c r="O48" s="128">
        <v>150</v>
      </c>
    </row>
    <row r="49" spans="1:15" ht="12.75">
      <c r="A49" s="85" t="s">
        <v>762</v>
      </c>
      <c r="B49" s="122">
        <f>710*0+(1592-44/44*583)+(5500-2010/2010*1000-2011/2011*3000)-2509+2012/2012*(3/3*(1197-67)+4/4*(1675-1150)-1655)+1600</f>
        <v>1600</v>
      </c>
      <c r="C49" s="86">
        <f>B49+8-202</f>
        <v>1406</v>
      </c>
      <c r="D49" s="86"/>
      <c r="E49" s="86">
        <f t="shared" si="12"/>
        <v>1406</v>
      </c>
      <c r="F49" s="86"/>
      <c r="G49" s="122">
        <f>1674-G50-G51</f>
        <v>1311</v>
      </c>
      <c r="H49" s="106"/>
      <c r="I49" s="125"/>
      <c r="J49" s="89">
        <f>100*1.1-110+50</f>
        <v>50.000000000000014</v>
      </c>
      <c r="K49" s="86">
        <f>J49</f>
        <v>50.000000000000014</v>
      </c>
      <c r="L49" s="86"/>
      <c r="M49" s="86">
        <f>K49+L49</f>
        <v>50.000000000000014</v>
      </c>
      <c r="N49" s="86"/>
      <c r="O49" s="128">
        <v>50</v>
      </c>
    </row>
    <row r="50" spans="1:15" ht="12.75">
      <c r="A50" s="85" t="s">
        <v>763</v>
      </c>
      <c r="B50" s="122">
        <f>12+16</f>
        <v>28</v>
      </c>
      <c r="C50" s="86">
        <f>B50</f>
        <v>28</v>
      </c>
      <c r="D50" s="86"/>
      <c r="E50" s="86">
        <f t="shared" si="12"/>
        <v>28</v>
      </c>
      <c r="F50" s="86"/>
      <c r="G50" s="122">
        <f>12+16</f>
        <v>28</v>
      </c>
      <c r="H50" s="129"/>
      <c r="I50" s="125"/>
      <c r="J50" s="94"/>
      <c r="K50" s="86"/>
      <c r="L50" s="86"/>
      <c r="M50" s="86"/>
      <c r="N50" s="86"/>
      <c r="O50" s="90"/>
    </row>
    <row r="51" spans="1:15" ht="12.75">
      <c r="A51" s="85" t="s">
        <v>764</v>
      </c>
      <c r="B51" s="86">
        <f>35+60+40+50+150-335*0</f>
        <v>335</v>
      </c>
      <c r="C51" s="86">
        <f>B51-101+64</f>
        <v>298</v>
      </c>
      <c r="D51" s="86"/>
      <c r="E51" s="86">
        <f t="shared" si="12"/>
        <v>298</v>
      </c>
      <c r="F51" s="86"/>
      <c r="G51" s="86">
        <f>35+60+40+50+150-335*0</f>
        <v>335</v>
      </c>
      <c r="H51" s="115"/>
      <c r="I51" s="125"/>
      <c r="J51" s="94"/>
      <c r="K51" s="86"/>
      <c r="L51" s="86"/>
      <c r="M51" s="86"/>
      <c r="N51" s="86"/>
      <c r="O51" s="90"/>
    </row>
    <row r="52" spans="1:15" ht="12.75">
      <c r="A52" s="91" t="s">
        <v>765</v>
      </c>
      <c r="B52" s="86"/>
      <c r="C52" s="86"/>
      <c r="D52" s="86">
        <f>6/6*(6+7)</f>
        <v>13</v>
      </c>
      <c r="E52" s="86">
        <f t="shared" si="12"/>
        <v>13</v>
      </c>
      <c r="F52" s="86"/>
      <c r="G52" s="86"/>
      <c r="H52" s="115"/>
      <c r="I52" s="103"/>
      <c r="J52" s="94"/>
      <c r="K52" s="86"/>
      <c r="L52" s="86"/>
      <c r="M52" s="86"/>
      <c r="N52" s="86"/>
      <c r="O52" s="90"/>
    </row>
    <row r="53" spans="1:15" ht="12.75">
      <c r="A53" s="112" t="s">
        <v>766</v>
      </c>
      <c r="B53" s="114"/>
      <c r="C53" s="86"/>
      <c r="D53" s="86">
        <f>6/6*63+10/10*12.5</f>
        <v>75.5</v>
      </c>
      <c r="E53" s="86">
        <f t="shared" si="12"/>
        <v>75.5</v>
      </c>
      <c r="F53" s="86"/>
      <c r="G53" s="86"/>
      <c r="H53" s="115"/>
      <c r="I53" s="88"/>
      <c r="J53" s="94"/>
      <c r="K53" s="86"/>
      <c r="L53" s="114"/>
      <c r="M53" s="86"/>
      <c r="N53" s="86"/>
      <c r="O53" s="90"/>
    </row>
    <row r="54" spans="1:15" ht="12.75">
      <c r="A54" s="85" t="s">
        <v>767</v>
      </c>
      <c r="B54" s="86"/>
      <c r="C54" s="86"/>
      <c r="D54" s="86"/>
      <c r="E54" s="86">
        <f t="shared" si="12"/>
        <v>0</v>
      </c>
      <c r="F54" s="86"/>
      <c r="G54" s="86"/>
      <c r="H54" s="115"/>
      <c r="I54" s="125"/>
      <c r="J54" s="94"/>
      <c r="K54" s="86"/>
      <c r="L54" s="86"/>
      <c r="M54" s="86"/>
      <c r="N54" s="86"/>
      <c r="O54" s="90"/>
    </row>
    <row r="55" spans="1:15" ht="12.75">
      <c r="A55" s="112" t="s">
        <v>768</v>
      </c>
      <c r="B55" s="114"/>
      <c r="C55" s="86"/>
      <c r="D55" s="86">
        <f>6/6*17</f>
        <v>17</v>
      </c>
      <c r="E55" s="86">
        <f t="shared" si="12"/>
        <v>17</v>
      </c>
      <c r="F55" s="86"/>
      <c r="G55" s="86"/>
      <c r="H55" s="115"/>
      <c r="I55" s="125"/>
      <c r="J55" s="94"/>
      <c r="K55" s="86"/>
      <c r="L55" s="86"/>
      <c r="M55" s="86"/>
      <c r="N55" s="86"/>
      <c r="O55" s="90"/>
    </row>
    <row r="56" spans="1:15" ht="12.75" hidden="1">
      <c r="A56" s="112"/>
      <c r="B56" s="114"/>
      <c r="C56" s="86"/>
      <c r="D56" s="86"/>
      <c r="E56" s="86"/>
      <c r="F56" s="86"/>
      <c r="G56" s="86"/>
      <c r="H56" s="115"/>
      <c r="I56" s="88"/>
      <c r="J56" s="94"/>
      <c r="K56" s="86"/>
      <c r="L56" s="86"/>
      <c r="M56" s="86"/>
      <c r="N56" s="86"/>
      <c r="O56" s="90"/>
    </row>
    <row r="57" spans="1:15" ht="12.75">
      <c r="A57" s="95" t="s">
        <v>769</v>
      </c>
      <c r="B57" s="96">
        <f aca="true" t="shared" si="13" ref="B57:G57">SUM(B46:B56)</f>
        <v>4893</v>
      </c>
      <c r="C57" s="97">
        <f t="shared" si="13"/>
        <v>4570</v>
      </c>
      <c r="D57" s="96">
        <f>SUM(D46:D56)</f>
        <v>188.1</v>
      </c>
      <c r="E57" s="96">
        <f t="shared" si="13"/>
        <v>4758.1</v>
      </c>
      <c r="F57" s="96">
        <f t="shared" si="13"/>
        <v>0</v>
      </c>
      <c r="G57" s="96">
        <f t="shared" si="13"/>
        <v>4524</v>
      </c>
      <c r="H57" s="105"/>
      <c r="I57" s="101"/>
      <c r="J57" s="98">
        <f aca="true" t="shared" si="14" ref="J57:O57">SUM(J46:J56)</f>
        <v>200</v>
      </c>
      <c r="K57" s="96">
        <f t="shared" si="14"/>
        <v>200</v>
      </c>
      <c r="L57" s="96">
        <f t="shared" si="14"/>
        <v>0</v>
      </c>
      <c r="M57" s="96">
        <f t="shared" si="14"/>
        <v>200</v>
      </c>
      <c r="N57" s="96">
        <f t="shared" si="14"/>
        <v>0</v>
      </c>
      <c r="O57" s="99">
        <f t="shared" si="14"/>
        <v>200</v>
      </c>
    </row>
    <row r="58" spans="1:15" ht="12.75">
      <c r="A58" s="85" t="s">
        <v>770</v>
      </c>
      <c r="B58" s="86">
        <v>350</v>
      </c>
      <c r="C58" s="86">
        <f>B58-104</f>
        <v>246</v>
      </c>
      <c r="D58" s="86">
        <f>6/6*177.8</f>
        <v>177.8</v>
      </c>
      <c r="E58" s="86">
        <f>C58+D58</f>
        <v>423.8</v>
      </c>
      <c r="F58" s="86"/>
      <c r="G58" s="86">
        <v>350</v>
      </c>
      <c r="H58" s="115"/>
      <c r="I58" s="111" t="s">
        <v>771</v>
      </c>
      <c r="J58" s="94"/>
      <c r="K58" s="86"/>
      <c r="L58" s="86">
        <f>6/6*177.8</f>
        <v>177.8</v>
      </c>
      <c r="M58" s="86">
        <f>K58+L58</f>
        <v>177.8</v>
      </c>
      <c r="N58" s="86"/>
      <c r="O58" s="90"/>
    </row>
    <row r="59" spans="1:15" ht="12.75">
      <c r="A59" s="130" t="s">
        <v>772</v>
      </c>
      <c r="B59" s="86"/>
      <c r="C59" s="86"/>
      <c r="D59" s="86">
        <f>6/6*148.3</f>
        <v>148.3</v>
      </c>
      <c r="E59" s="86">
        <f>C59+D59</f>
        <v>148.3</v>
      </c>
      <c r="F59" s="86"/>
      <c r="G59" s="86"/>
      <c r="H59" s="115"/>
      <c r="I59" s="111" t="s">
        <v>773</v>
      </c>
      <c r="J59" s="94"/>
      <c r="K59" s="86"/>
      <c r="L59" s="86">
        <f>6/6*148.3</f>
        <v>148.3</v>
      </c>
      <c r="M59" s="86">
        <f>K59+L59</f>
        <v>148.3</v>
      </c>
      <c r="N59" s="86"/>
      <c r="O59" s="90"/>
    </row>
    <row r="60" spans="1:15" ht="12.75">
      <c r="A60" s="95" t="s">
        <v>774</v>
      </c>
      <c r="B60" s="96">
        <f aca="true" t="shared" si="15" ref="B60:G60">SUM(B58:B59)</f>
        <v>350</v>
      </c>
      <c r="C60" s="96">
        <f t="shared" si="15"/>
        <v>246</v>
      </c>
      <c r="D60" s="96">
        <f>SUM(D58:D59)</f>
        <v>326.1</v>
      </c>
      <c r="E60" s="96">
        <f t="shared" si="15"/>
        <v>572.1</v>
      </c>
      <c r="F60" s="96">
        <f t="shared" si="15"/>
        <v>0</v>
      </c>
      <c r="G60" s="96">
        <f t="shared" si="15"/>
        <v>350</v>
      </c>
      <c r="H60" s="105"/>
      <c r="I60" s="117"/>
      <c r="J60" s="98">
        <f aca="true" t="shared" si="16" ref="J60:O60">SUM(J58:J59)</f>
        <v>0</v>
      </c>
      <c r="K60" s="96">
        <f t="shared" si="16"/>
        <v>0</v>
      </c>
      <c r="L60" s="96">
        <f t="shared" si="16"/>
        <v>326.1</v>
      </c>
      <c r="M60" s="96">
        <f t="shared" si="16"/>
        <v>326.1</v>
      </c>
      <c r="N60" s="96">
        <f t="shared" si="16"/>
        <v>0</v>
      </c>
      <c r="O60" s="99">
        <f t="shared" si="16"/>
        <v>0</v>
      </c>
    </row>
    <row r="61" spans="1:15" ht="29.25">
      <c r="A61" s="85" t="s">
        <v>775</v>
      </c>
      <c r="B61" s="122">
        <f>(5000-2000-3000)+2012/2012*5000*0+2013/2013*((10000-5000)+500)</f>
        <v>5500</v>
      </c>
      <c r="C61" s="86">
        <f>B61+1773.1</f>
        <v>7273.1</v>
      </c>
      <c r="D61" s="86"/>
      <c r="E61" s="86">
        <f>C61+D61</f>
        <v>7273.1</v>
      </c>
      <c r="F61" s="86"/>
      <c r="G61" s="122">
        <v>5500</v>
      </c>
      <c r="H61" s="131" t="s">
        <v>776</v>
      </c>
      <c r="I61" s="113"/>
      <c r="J61" s="123">
        <f>10000*0+(1350*12-16200)*0+(87694-66438)-21256/2+1372-12000</f>
        <v>0</v>
      </c>
      <c r="K61" s="86"/>
      <c r="L61" s="86"/>
      <c r="M61" s="86"/>
      <c r="N61" s="86"/>
      <c r="O61" s="124">
        <f>10000*0+(1350*12-16200)*0+(87694-66438)-21256/2+1372-12000</f>
        <v>0</v>
      </c>
    </row>
    <row r="62" spans="1:15" ht="12.75">
      <c r="A62" s="91" t="s">
        <v>777</v>
      </c>
      <c r="B62" s="86"/>
      <c r="C62" s="86"/>
      <c r="D62" s="86">
        <f>6/6*436.9</f>
        <v>436.9</v>
      </c>
      <c r="E62" s="86">
        <f>C62+D62</f>
        <v>436.9</v>
      </c>
      <c r="F62" s="86"/>
      <c r="G62" s="122"/>
      <c r="H62" s="102"/>
      <c r="I62" s="119"/>
      <c r="J62" s="94"/>
      <c r="K62" s="86"/>
      <c r="L62" s="86"/>
      <c r="M62" s="86"/>
      <c r="N62" s="86"/>
      <c r="O62" s="124"/>
    </row>
    <row r="63" spans="1:15" ht="12.75">
      <c r="A63" s="85" t="s">
        <v>778</v>
      </c>
      <c r="B63" s="122">
        <f>(6000*0+6300)*(1.05*0+1.1*0+1.15)-315*0-630*0+55-1000*0-7300*0</f>
        <v>7299.999999999999</v>
      </c>
      <c r="C63" s="86">
        <f>B63+610+2</f>
        <v>7911.999999999999</v>
      </c>
      <c r="D63" s="86"/>
      <c r="E63" s="86">
        <f>C63+D63</f>
        <v>7911.999999999999</v>
      </c>
      <c r="F63" s="86"/>
      <c r="G63" s="122">
        <v>7665</v>
      </c>
      <c r="H63" s="106"/>
      <c r="I63" s="113"/>
      <c r="J63" s="94"/>
      <c r="K63" s="86"/>
      <c r="L63" s="86"/>
      <c r="M63" s="86"/>
      <c r="N63" s="86"/>
      <c r="O63" s="90"/>
    </row>
    <row r="64" spans="1:15" ht="12.75">
      <c r="A64" s="95" t="s">
        <v>779</v>
      </c>
      <c r="B64" s="96">
        <f aca="true" t="shared" si="17" ref="B64:G64">SUM(B61:B63)</f>
        <v>12800</v>
      </c>
      <c r="C64" s="97">
        <f t="shared" si="17"/>
        <v>15185.099999999999</v>
      </c>
      <c r="D64" s="96">
        <f t="shared" si="17"/>
        <v>436.9</v>
      </c>
      <c r="E64" s="96">
        <f t="shared" si="17"/>
        <v>15622</v>
      </c>
      <c r="F64" s="96">
        <f t="shared" si="17"/>
        <v>0</v>
      </c>
      <c r="G64" s="96">
        <f t="shared" si="17"/>
        <v>13165</v>
      </c>
      <c r="H64" s="105"/>
      <c r="I64" s="117"/>
      <c r="J64" s="98">
        <f aca="true" t="shared" si="18" ref="J64:O64">SUM(J61:J63)</f>
        <v>0</v>
      </c>
      <c r="K64" s="96">
        <f t="shared" si="18"/>
        <v>0</v>
      </c>
      <c r="L64" s="96">
        <f t="shared" si="18"/>
        <v>0</v>
      </c>
      <c r="M64" s="96">
        <f t="shared" si="18"/>
        <v>0</v>
      </c>
      <c r="N64" s="96">
        <f t="shared" si="18"/>
        <v>0</v>
      </c>
      <c r="O64" s="99">
        <f t="shared" si="18"/>
        <v>0</v>
      </c>
    </row>
    <row r="65" spans="1:15" ht="12.75">
      <c r="A65" s="85" t="s">
        <v>780</v>
      </c>
      <c r="B65" s="132">
        <f>2276*1.025+0.1-2333+175*12*(1.09-0.09)+50+150-2300*0</f>
        <v>2299.9999999999995</v>
      </c>
      <c r="C65" s="86">
        <f>B65+40-17</f>
        <v>2322.9999999999995</v>
      </c>
      <c r="D65" s="86"/>
      <c r="E65" s="86">
        <f aca="true" t="shared" si="19" ref="E65:E76">C65+D65</f>
        <v>2322.9999999999995</v>
      </c>
      <c r="F65" s="86"/>
      <c r="G65" s="122">
        <v>2707</v>
      </c>
      <c r="H65" s="105"/>
      <c r="I65" s="133" t="s">
        <v>781</v>
      </c>
      <c r="J65" s="94">
        <f>100</f>
        <v>100</v>
      </c>
      <c r="K65" s="86">
        <f>J65</f>
        <v>100</v>
      </c>
      <c r="L65" s="86"/>
      <c r="M65" s="86">
        <f>K65+L65</f>
        <v>100</v>
      </c>
      <c r="N65" s="86"/>
      <c r="O65" s="90">
        <f>100</f>
        <v>100</v>
      </c>
    </row>
    <row r="66" spans="1:15" ht="12.75">
      <c r="A66" s="85" t="s">
        <v>782</v>
      </c>
      <c r="B66" s="134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-48688+2013/2013*(85700-40632-130)</f>
        <v>44937.999999999985</v>
      </c>
      <c r="C66" s="86">
        <f>B66-1527-1927+333.9-3075.7</f>
        <v>38742.19999999999</v>
      </c>
      <c r="D66" s="86">
        <f>10/10*13101/13101*(22.8+25.6)+11/11*26.8</f>
        <v>75.2</v>
      </c>
      <c r="E66" s="86">
        <f t="shared" si="19"/>
        <v>38817.39999999999</v>
      </c>
      <c r="F66" s="86"/>
      <c r="G66" s="134">
        <f>46783-SUM(G67:G76)</f>
        <v>42616</v>
      </c>
      <c r="H66" s="105"/>
      <c r="I66" s="135" t="s">
        <v>783</v>
      </c>
      <c r="J66" s="108">
        <f>18478*0+2011/2011*16653*0+2012/2012*(15758+(1250*0+408+842))*0+2013/2013*(15772-0-0)-J19-J21</f>
        <v>15772</v>
      </c>
      <c r="K66" s="86">
        <f>J66</f>
        <v>15772</v>
      </c>
      <c r="L66" s="86">
        <f>1/1*261.2+11/11*254.1</f>
        <v>515.3</v>
      </c>
      <c r="M66" s="86">
        <f>K66+L66</f>
        <v>16287.3</v>
      </c>
      <c r="N66" s="86"/>
      <c r="O66" s="109">
        <v>15917</v>
      </c>
    </row>
    <row r="67" spans="1:15" ht="12.75">
      <c r="A67" s="91" t="s">
        <v>784</v>
      </c>
      <c r="B67" s="86"/>
      <c r="C67" s="86"/>
      <c r="D67" s="86">
        <f>6/6*((7+70)+45+218+3+18)</f>
        <v>361</v>
      </c>
      <c r="E67" s="86">
        <f t="shared" si="19"/>
        <v>361</v>
      </c>
      <c r="F67" s="86"/>
      <c r="G67" s="134"/>
      <c r="H67" s="105"/>
      <c r="I67" s="119"/>
      <c r="J67" s="94"/>
      <c r="K67" s="86"/>
      <c r="L67" s="86"/>
      <c r="M67" s="86"/>
      <c r="N67" s="86"/>
      <c r="O67" s="109"/>
    </row>
    <row r="68" spans="1:15" ht="12.75">
      <c r="A68" s="85" t="s">
        <v>785</v>
      </c>
      <c r="B68" s="134"/>
      <c r="C68" s="86"/>
      <c r="D68" s="86">
        <f>(4/4+10/10)*817.2</f>
        <v>1634.4</v>
      </c>
      <c r="E68" s="86">
        <f t="shared" si="19"/>
        <v>1634.4</v>
      </c>
      <c r="F68" s="86"/>
      <c r="G68" s="134"/>
      <c r="H68" s="105"/>
      <c r="I68" s="135" t="s">
        <v>786</v>
      </c>
      <c r="J68" s="108"/>
      <c r="K68" s="86"/>
      <c r="L68" s="86">
        <f>9/9*(390+98+35)+(4/4+10/10)*817.2+11/11*196+13101/13101*(10/10*(22.8+25.6)+11/11*26.8)</f>
        <v>2428.6</v>
      </c>
      <c r="M68" s="86">
        <f aca="true" t="shared" si="20" ref="M68:M76">K68+L68</f>
        <v>2428.6</v>
      </c>
      <c r="N68" s="86"/>
      <c r="O68" s="90"/>
    </row>
    <row r="69" spans="1:15" ht="12.75">
      <c r="A69" s="85" t="s">
        <v>787</v>
      </c>
      <c r="B69" s="134"/>
      <c r="C69" s="86"/>
      <c r="D69" s="86">
        <f>4/4*96</f>
        <v>96</v>
      </c>
      <c r="E69" s="86">
        <f t="shared" si="19"/>
        <v>96</v>
      </c>
      <c r="F69" s="86"/>
      <c r="G69" s="134"/>
      <c r="H69" s="105"/>
      <c r="I69" s="135" t="s">
        <v>735</v>
      </c>
      <c r="J69" s="108"/>
      <c r="K69" s="86"/>
      <c r="L69" s="86">
        <f>4/4*96</f>
        <v>96</v>
      </c>
      <c r="M69" s="86">
        <f t="shared" si="20"/>
        <v>96</v>
      </c>
      <c r="N69" s="86"/>
      <c r="O69" s="90"/>
    </row>
    <row r="70" spans="1:15" ht="12.75">
      <c r="A70" s="136" t="s">
        <v>788</v>
      </c>
      <c r="B70" s="134"/>
      <c r="C70" s="86"/>
      <c r="D70" s="86">
        <f>6/6*1409.7</f>
        <v>1409.7</v>
      </c>
      <c r="E70" s="86">
        <f t="shared" si="19"/>
        <v>1409.7</v>
      </c>
      <c r="F70" s="86"/>
      <c r="G70" s="134"/>
      <c r="H70" s="105"/>
      <c r="I70" s="111" t="s">
        <v>773</v>
      </c>
      <c r="J70" s="108"/>
      <c r="K70" s="86"/>
      <c r="L70" s="86">
        <f>6/6*1409.7+10/10*(98011/98011*53.2+97/97*(320.8+123.6))</f>
        <v>1907.3</v>
      </c>
      <c r="M70" s="86">
        <f t="shared" si="20"/>
        <v>1907.3</v>
      </c>
      <c r="N70" s="86"/>
      <c r="O70" s="90"/>
    </row>
    <row r="71" spans="1:15" ht="12.75">
      <c r="A71" s="137" t="s">
        <v>789</v>
      </c>
      <c r="B71" s="86">
        <f>583-62+523+262/2-1175*0</f>
        <v>1175</v>
      </c>
      <c r="C71" s="86">
        <f>B71-180</f>
        <v>995</v>
      </c>
      <c r="D71" s="86"/>
      <c r="E71" s="86">
        <f t="shared" si="19"/>
        <v>995</v>
      </c>
      <c r="F71" s="86"/>
      <c r="G71" s="86">
        <f>583-62+523+262/2-1175*0</f>
        <v>1175</v>
      </c>
      <c r="H71" s="105"/>
      <c r="I71" s="119" t="s">
        <v>790</v>
      </c>
      <c r="J71" s="94"/>
      <c r="K71" s="86"/>
      <c r="L71" s="86"/>
      <c r="M71" s="86">
        <f t="shared" si="20"/>
        <v>0</v>
      </c>
      <c r="N71" s="86"/>
      <c r="O71" s="90"/>
    </row>
    <row r="72" spans="1:15" ht="12.75">
      <c r="A72" s="85" t="s">
        <v>791</v>
      </c>
      <c r="B72" s="86">
        <f>(3113/3113*(5000-3500)+6171/6171*((4000-3612/3612*B61)+2000-2500))*0+2012/2012*(3000+1000+2000-6000)+2013/2013*(1500)</f>
        <v>1500</v>
      </c>
      <c r="C72" s="86">
        <f>B72-131</f>
        <v>1369</v>
      </c>
      <c r="D72" s="86"/>
      <c r="E72" s="86">
        <f t="shared" si="19"/>
        <v>1369</v>
      </c>
      <c r="F72" s="86"/>
      <c r="G72" s="86">
        <f>(3113/3113*(5000-3500)+6171/6171*((4000-3612/3612*G61)+2000-2500))*0+2012/2012*(3000+1000+2000-6000)+2013/2013*(1500)</f>
        <v>1500</v>
      </c>
      <c r="H72" s="138" t="s">
        <v>792</v>
      </c>
      <c r="I72" s="111" t="s">
        <v>793</v>
      </c>
      <c r="J72" s="94">
        <f>300*0+2012/2012*500</f>
        <v>500</v>
      </c>
      <c r="K72" s="86">
        <f>J72</f>
        <v>500</v>
      </c>
      <c r="L72" s="86"/>
      <c r="M72" s="86">
        <f>K72+L72</f>
        <v>500</v>
      </c>
      <c r="N72" s="86"/>
      <c r="O72" s="90">
        <v>500</v>
      </c>
    </row>
    <row r="73" spans="1:15" ht="12.75">
      <c r="A73" s="85" t="s">
        <v>794</v>
      </c>
      <c r="B73" s="86">
        <f>150*0+400</f>
        <v>400</v>
      </c>
      <c r="C73" s="86">
        <f>B73+47</f>
        <v>447</v>
      </c>
      <c r="D73" s="86"/>
      <c r="E73" s="86">
        <f t="shared" si="19"/>
        <v>447</v>
      </c>
      <c r="F73" s="86"/>
      <c r="G73" s="86">
        <f>150*0+400</f>
        <v>400</v>
      </c>
      <c r="H73" s="121"/>
      <c r="I73" s="111" t="s">
        <v>795</v>
      </c>
      <c r="J73" s="94"/>
      <c r="K73" s="86">
        <f>J73+1050+180+30</f>
        <v>1260</v>
      </c>
      <c r="L73" s="86"/>
      <c r="M73" s="86">
        <f t="shared" si="20"/>
        <v>1260</v>
      </c>
      <c r="N73" s="86"/>
      <c r="O73" s="90"/>
    </row>
    <row r="74" spans="1:15" ht="12.75">
      <c r="A74" s="91" t="s">
        <v>796</v>
      </c>
      <c r="B74" s="86"/>
      <c r="C74" s="86"/>
      <c r="D74" s="86">
        <f>6/6*(8+8+5+(12+3))</f>
        <v>36</v>
      </c>
      <c r="E74" s="86">
        <f t="shared" si="19"/>
        <v>36</v>
      </c>
      <c r="F74" s="86"/>
      <c r="G74" s="86"/>
      <c r="H74" s="121"/>
      <c r="I74" s="119"/>
      <c r="J74" s="94"/>
      <c r="K74" s="86"/>
      <c r="L74" s="86"/>
      <c r="M74" s="86">
        <f t="shared" si="20"/>
        <v>0</v>
      </c>
      <c r="N74" s="86"/>
      <c r="O74" s="90"/>
    </row>
    <row r="75" spans="1:15" ht="12.75">
      <c r="A75" s="85" t="s">
        <v>797</v>
      </c>
      <c r="B75" s="86">
        <f>16/16*(509+101)+(77+50)+352+3-1092*0</f>
        <v>1092</v>
      </c>
      <c r="C75" s="86">
        <f>B75-740.5</f>
        <v>351.5</v>
      </c>
      <c r="D75" s="86"/>
      <c r="E75" s="86">
        <f t="shared" si="19"/>
        <v>351.5</v>
      </c>
      <c r="F75" s="86"/>
      <c r="G75" s="86">
        <f>16/16*(509+101)+(77+50)+352+3-1092*0</f>
        <v>1092</v>
      </c>
      <c r="H75" s="115"/>
      <c r="I75" s="111" t="s">
        <v>798</v>
      </c>
      <c r="J75" s="89">
        <f>160*0+2012/2012*200*0+250-103/103*2119/2119*250</f>
        <v>0</v>
      </c>
      <c r="K75" s="86"/>
      <c r="L75" s="86"/>
      <c r="M75" s="86">
        <f t="shared" si="20"/>
        <v>0</v>
      </c>
      <c r="N75" s="86"/>
      <c r="O75" s="90"/>
    </row>
    <row r="76" spans="1:15" ht="12.75">
      <c r="A76" s="85" t="s">
        <v>799</v>
      </c>
      <c r="B76" s="86"/>
      <c r="C76" s="86"/>
      <c r="D76" s="86">
        <f>1/1*261.2+11/11*254.1</f>
        <v>515.3</v>
      </c>
      <c r="E76" s="86">
        <f t="shared" si="19"/>
        <v>515.3</v>
      </c>
      <c r="F76" s="86"/>
      <c r="G76" s="86"/>
      <c r="H76" s="115"/>
      <c r="I76" s="111" t="s">
        <v>800</v>
      </c>
      <c r="J76" s="94"/>
      <c r="K76" s="86">
        <f>J76+43+40+69+30</f>
        <v>182</v>
      </c>
      <c r="L76" s="86"/>
      <c r="M76" s="86">
        <f t="shared" si="20"/>
        <v>182</v>
      </c>
      <c r="N76" s="86"/>
      <c r="O76" s="90"/>
    </row>
    <row r="77" spans="1:16" ht="12.75">
      <c r="A77" s="95" t="s">
        <v>801</v>
      </c>
      <c r="B77" s="96">
        <f aca="true" t="shared" si="21" ref="B77:G77">SUM(B65:B76)</f>
        <v>51404.999999999985</v>
      </c>
      <c r="C77" s="97">
        <f t="shared" si="21"/>
        <v>44227.69999999999</v>
      </c>
      <c r="D77" s="96">
        <f>SUM(D65:D76)</f>
        <v>4127.6</v>
      </c>
      <c r="E77" s="96">
        <f t="shared" si="21"/>
        <v>48355.29999999999</v>
      </c>
      <c r="F77" s="96">
        <f t="shared" si="21"/>
        <v>0</v>
      </c>
      <c r="G77" s="96">
        <f t="shared" si="21"/>
        <v>49490</v>
      </c>
      <c r="H77" s="121"/>
      <c r="I77" s="101"/>
      <c r="J77" s="98">
        <f aca="true" t="shared" si="22" ref="J77:O77">SUM(J65:J76)</f>
        <v>16372</v>
      </c>
      <c r="K77" s="96">
        <f t="shared" si="22"/>
        <v>17814</v>
      </c>
      <c r="L77" s="96">
        <f t="shared" si="22"/>
        <v>4947.2</v>
      </c>
      <c r="M77" s="96">
        <f t="shared" si="22"/>
        <v>22761.199999999997</v>
      </c>
      <c r="N77" s="96">
        <f t="shared" si="22"/>
        <v>0</v>
      </c>
      <c r="O77" s="99">
        <f t="shared" si="22"/>
        <v>16517</v>
      </c>
      <c r="P77" s="139">
        <f>22761.2-M77</f>
        <v>0</v>
      </c>
    </row>
    <row r="78" spans="1:15" ht="12.75">
      <c r="A78" s="85"/>
      <c r="B78" s="86"/>
      <c r="C78" s="86"/>
      <c r="D78" s="86"/>
      <c r="E78" s="86"/>
      <c r="F78" s="86"/>
      <c r="G78" s="86"/>
      <c r="H78" s="140"/>
      <c r="I78" s="111" t="s">
        <v>802</v>
      </c>
      <c r="J78" s="141">
        <f>((250+35+520+13+250+1300)+32-2400)*0+(2013/2013*(250+10+560+(8+3)+250)+(250*4-2078)*0)</f>
        <v>1081</v>
      </c>
      <c r="K78" s="86">
        <f>J78-253</f>
        <v>828</v>
      </c>
      <c r="L78" s="86"/>
      <c r="M78" s="86">
        <f aca="true" t="shared" si="23" ref="M78:M87">K78+L78</f>
        <v>828</v>
      </c>
      <c r="N78" s="86"/>
      <c r="O78" s="142">
        <f>250+10+560+11+250</f>
        <v>1081</v>
      </c>
    </row>
    <row r="79" spans="1:15" ht="12.75">
      <c r="A79" s="85"/>
      <c r="B79" s="86"/>
      <c r="C79" s="86"/>
      <c r="D79" s="86"/>
      <c r="E79" s="86"/>
      <c r="F79" s="86"/>
      <c r="G79" s="86"/>
      <c r="H79" s="140"/>
      <c r="I79" s="111" t="s">
        <v>803</v>
      </c>
      <c r="J79" s="94">
        <f>2700*1.035+5.5-2800+1800</f>
        <v>1800</v>
      </c>
      <c r="K79" s="86">
        <f>J79+350</f>
        <v>2150</v>
      </c>
      <c r="L79" s="86"/>
      <c r="M79" s="86">
        <f t="shared" si="23"/>
        <v>2150</v>
      </c>
      <c r="N79" s="86"/>
      <c r="O79" s="90">
        <f>2700*1.035+5.5-2800+1800</f>
        <v>1800</v>
      </c>
    </row>
    <row r="80" spans="1:15" ht="12.75">
      <c r="A80" s="85"/>
      <c r="B80" s="86"/>
      <c r="C80" s="86"/>
      <c r="D80" s="86"/>
      <c r="E80" s="86"/>
      <c r="F80" s="86"/>
      <c r="G80" s="86"/>
      <c r="H80" s="115"/>
      <c r="I80" s="111" t="s">
        <v>804</v>
      </c>
      <c r="J80" s="94">
        <f>5000*0+9200*0+2012/2012*8700*2013/2013</f>
        <v>8700</v>
      </c>
      <c r="K80" s="86">
        <f>J80</f>
        <v>8700</v>
      </c>
      <c r="L80" s="86"/>
      <c r="M80" s="86">
        <f t="shared" si="23"/>
        <v>8700</v>
      </c>
      <c r="N80" s="86"/>
      <c r="O80" s="90">
        <v>7500</v>
      </c>
    </row>
    <row r="81" spans="1:15" ht="12.75">
      <c r="A81" s="85"/>
      <c r="B81" s="86"/>
      <c r="C81" s="86"/>
      <c r="D81" s="86"/>
      <c r="E81" s="86"/>
      <c r="F81" s="86"/>
      <c r="G81" s="86"/>
      <c r="H81" s="121"/>
      <c r="I81" s="111" t="s">
        <v>805</v>
      </c>
      <c r="J81" s="108">
        <f>8408*3.728472883*0+31120*0+2012/2012*(38243.68+0.32)*0+2013/2013*(37797*0+37667)</f>
        <v>37667</v>
      </c>
      <c r="K81" s="86">
        <f>J81</f>
        <v>37667</v>
      </c>
      <c r="L81" s="86">
        <f>81/81*(1/1*4000+2/2*52.6)</f>
        <v>4052.6</v>
      </c>
      <c r="M81" s="86">
        <f t="shared" si="23"/>
        <v>41719.6</v>
      </c>
      <c r="N81" s="86"/>
      <c r="O81" s="109">
        <v>37330</v>
      </c>
    </row>
    <row r="82" spans="1:15" ht="12.75">
      <c r="A82" s="85"/>
      <c r="B82" s="86"/>
      <c r="C82" s="86"/>
      <c r="D82" s="86"/>
      <c r="E82" s="86"/>
      <c r="F82" s="86"/>
      <c r="G82" s="86"/>
      <c r="H82" s="115"/>
      <c r="I82" s="111" t="s">
        <v>806</v>
      </c>
      <c r="J82" s="94"/>
      <c r="K82" s="86"/>
      <c r="L82" s="86">
        <f>6/6*2756.9</f>
        <v>2756.9</v>
      </c>
      <c r="M82" s="86">
        <f t="shared" si="23"/>
        <v>2756.9</v>
      </c>
      <c r="N82" s="86"/>
      <c r="O82" s="90"/>
    </row>
    <row r="83" spans="1:15" ht="12.75">
      <c r="A83" s="85"/>
      <c r="B83" s="86"/>
      <c r="C83" s="86"/>
      <c r="D83" s="86"/>
      <c r="E83" s="86"/>
      <c r="F83" s="86"/>
      <c r="G83" s="86"/>
      <c r="H83" s="115"/>
      <c r="I83" s="111" t="s">
        <v>807</v>
      </c>
      <c r="J83" s="94"/>
      <c r="K83" s="86"/>
      <c r="L83" s="86">
        <f>6/6*(138.1+138)+10/10*(4/4*(138.8+41.7)+5/5*(36+1/1*(54+10)+2/2*(42+26))+6/6*12.5)</f>
        <v>637.1</v>
      </c>
      <c r="M83" s="86">
        <f t="shared" si="23"/>
        <v>637.1</v>
      </c>
      <c r="N83" s="86"/>
      <c r="O83" s="90"/>
    </row>
    <row r="84" spans="1:15" ht="12.75">
      <c r="A84" s="85"/>
      <c r="B84" s="86"/>
      <c r="C84" s="86"/>
      <c r="D84" s="86"/>
      <c r="E84" s="86"/>
      <c r="F84" s="86"/>
      <c r="G84" s="86"/>
      <c r="H84" s="115"/>
      <c r="I84" s="111" t="s">
        <v>808</v>
      </c>
      <c r="J84" s="108">
        <f>3000*0+21256/2*2-J61-9256*0+3000-12256+2012/2012*(3612/3612*5000+3688)-20688+(8000+1490*12*(50%*0+60%)+60*0+272-50/50*17000*0-60/60*19000*0)</f>
        <v>19000</v>
      </c>
      <c r="K84" s="86">
        <f>J84-4725.4</f>
        <v>14274.6</v>
      </c>
      <c r="L84" s="86"/>
      <c r="M84" s="86">
        <f t="shared" si="23"/>
        <v>14274.6</v>
      </c>
      <c r="N84" s="86"/>
      <c r="O84" s="109">
        <v>19000</v>
      </c>
    </row>
    <row r="85" spans="1:15" ht="12.75">
      <c r="A85" s="85"/>
      <c r="B85" s="86"/>
      <c r="C85" s="86"/>
      <c r="D85" s="86"/>
      <c r="E85" s="86"/>
      <c r="F85" s="86"/>
      <c r="G85" s="86"/>
      <c r="H85" s="115"/>
      <c r="I85" s="111" t="s">
        <v>809</v>
      </c>
      <c r="J85" s="108"/>
      <c r="K85" s="86">
        <f>0+297.9</f>
        <v>297.9</v>
      </c>
      <c r="L85" s="86"/>
      <c r="M85" s="86">
        <f t="shared" si="23"/>
        <v>297.9</v>
      </c>
      <c r="N85" s="86"/>
      <c r="O85" s="90"/>
    </row>
    <row r="86" spans="1:15" ht="12.75">
      <c r="A86" s="85"/>
      <c r="B86" s="86"/>
      <c r="C86" s="86"/>
      <c r="D86" s="86"/>
      <c r="E86" s="86"/>
      <c r="F86" s="86"/>
      <c r="G86" s="86"/>
      <c r="H86" s="115"/>
      <c r="I86" s="143" t="s">
        <v>810</v>
      </c>
      <c r="J86" s="94"/>
      <c r="K86" s="86"/>
      <c r="L86" s="144">
        <f>((-154900*0-81/81*((106232.2*0+(4200000-4169401.8*0-4093767.8)-32.2)+(120000-83380-20)+(50000-38492-8)+(1341/1341*(462.5+37.5)+1342/1342*(67.5+32.5)))+(2600*0-(5512/5512*(7210-10)+98193/98193*(-9772.6-27.4)+2600*0)))*0+23000)/1000</f>
        <v>23</v>
      </c>
      <c r="M86" s="86">
        <f t="shared" si="23"/>
        <v>23</v>
      </c>
      <c r="N86" s="86"/>
      <c r="O86" s="90"/>
    </row>
    <row r="87" spans="1:15" ht="12.75">
      <c r="A87" s="85"/>
      <c r="B87" s="86"/>
      <c r="C87" s="86"/>
      <c r="D87" s="86"/>
      <c r="E87" s="86"/>
      <c r="F87" s="86"/>
      <c r="G87" s="86"/>
      <c r="H87" s="115"/>
      <c r="I87" s="145" t="s">
        <v>811</v>
      </c>
      <c r="J87" s="94"/>
      <c r="K87" s="86"/>
      <c r="L87" s="144">
        <f>(-154900*0-81/81*((106232.2*0+(4200000-4169401.8*0-4093767.8)-32.2)+(120000-83380-20)+(50000-38492-8)+(1341/1341*(462.5+37.5)+1342/1342*(67.5+32.5)))+(2600*0-(5512/5512*(7210-10)+98193/98193*(-9772.6-27.4)+2600*0))+23000*0)/1000+11/11*211.8</f>
        <v>59.49999999999983</v>
      </c>
      <c r="M87" s="86">
        <f t="shared" si="23"/>
        <v>59.49999999999983</v>
      </c>
      <c r="N87" s="86"/>
      <c r="O87" s="90"/>
    </row>
    <row r="88" spans="1:15" ht="12.75">
      <c r="A88" s="95" t="s">
        <v>812</v>
      </c>
      <c r="B88" s="96">
        <f aca="true" t="shared" si="24" ref="B88:G88">SUM(B78:B87)</f>
        <v>0</v>
      </c>
      <c r="C88" s="96">
        <f t="shared" si="24"/>
        <v>0</v>
      </c>
      <c r="D88" s="96">
        <f t="shared" si="24"/>
        <v>0</v>
      </c>
      <c r="E88" s="96">
        <f t="shared" si="24"/>
        <v>0</v>
      </c>
      <c r="F88" s="96">
        <f t="shared" si="24"/>
        <v>0</v>
      </c>
      <c r="G88" s="96">
        <f t="shared" si="24"/>
        <v>0</v>
      </c>
      <c r="H88" s="105"/>
      <c r="I88" s="88"/>
      <c r="J88" s="98">
        <f aca="true" t="shared" si="25" ref="J88:O88">SUM(J78:J87)</f>
        <v>68248</v>
      </c>
      <c r="K88" s="96">
        <f t="shared" si="25"/>
        <v>63917.5</v>
      </c>
      <c r="L88" s="96">
        <f t="shared" si="25"/>
        <v>7529.1</v>
      </c>
      <c r="M88" s="96">
        <f t="shared" si="25"/>
        <v>71446.59999999999</v>
      </c>
      <c r="N88" s="96">
        <f t="shared" si="25"/>
        <v>0</v>
      </c>
      <c r="O88" s="99">
        <f t="shared" si="25"/>
        <v>66711</v>
      </c>
    </row>
    <row r="89" spans="1:15" ht="12.75">
      <c r="A89" s="85"/>
      <c r="B89" s="100"/>
      <c r="C89" s="100"/>
      <c r="D89" s="100"/>
      <c r="E89" s="100"/>
      <c r="F89" s="100"/>
      <c r="G89" s="100"/>
      <c r="H89" s="115"/>
      <c r="I89" s="88"/>
      <c r="J89" s="146"/>
      <c r="K89" s="86"/>
      <c r="L89" s="86"/>
      <c r="M89" s="86"/>
      <c r="N89" s="86"/>
      <c r="O89" s="147"/>
    </row>
    <row r="90" spans="1:15" ht="13.5" thickBot="1">
      <c r="A90" s="148" t="s">
        <v>813</v>
      </c>
      <c r="B90" s="149">
        <f aca="true" t="shared" si="26" ref="B90:G90">SUM(B5:B89)/2</f>
        <v>85569.99999999999</v>
      </c>
      <c r="C90" s="149">
        <f t="shared" si="26"/>
        <v>82681.49999999999</v>
      </c>
      <c r="D90" s="149">
        <f t="shared" si="26"/>
        <v>13425.8</v>
      </c>
      <c r="E90" s="149">
        <f t="shared" si="26"/>
        <v>96107.29999999999</v>
      </c>
      <c r="F90" s="149">
        <f t="shared" si="26"/>
        <v>0</v>
      </c>
      <c r="G90" s="149">
        <f t="shared" si="26"/>
        <v>84178</v>
      </c>
      <c r="H90" s="105"/>
      <c r="I90" s="150"/>
      <c r="J90" s="151">
        <f aca="true" t="shared" si="27" ref="J90:O90">SUM(J5:J89)/2</f>
        <v>85570</v>
      </c>
      <c r="K90" s="149">
        <f t="shared" si="27"/>
        <v>82681.5</v>
      </c>
      <c r="L90" s="149">
        <f t="shared" si="27"/>
        <v>13485.3</v>
      </c>
      <c r="M90" s="149">
        <f t="shared" si="27"/>
        <v>96166.79999999999</v>
      </c>
      <c r="N90" s="149">
        <f t="shared" si="27"/>
        <v>0</v>
      </c>
      <c r="O90" s="152">
        <f t="shared" si="27"/>
        <v>84178</v>
      </c>
    </row>
    <row r="91" spans="1:15" s="160" customFormat="1" ht="14.25" thickBot="1" thickTop="1">
      <c r="A91" s="153"/>
      <c r="B91" s="154"/>
      <c r="C91" s="155"/>
      <c r="D91" s="154"/>
      <c r="E91" s="154"/>
      <c r="F91" s="156"/>
      <c r="G91" s="157"/>
      <c r="H91" s="158"/>
      <c r="I91" s="159"/>
      <c r="J91" s="159"/>
      <c r="K91" s="155"/>
      <c r="L91" s="154"/>
      <c r="M91" s="154"/>
      <c r="N91" s="156"/>
      <c r="O91" s="157"/>
    </row>
    <row r="92" spans="3:14" ht="13.5" thickBot="1">
      <c r="C92" s="161"/>
      <c r="D92" s="154"/>
      <c r="E92" s="154"/>
      <c r="F92" s="162"/>
      <c r="I92" s="413" t="s">
        <v>814</v>
      </c>
      <c r="J92" s="414"/>
      <c r="K92" s="163">
        <f>K90-C90</f>
        <v>0</v>
      </c>
      <c r="L92" s="154"/>
      <c r="M92" s="154"/>
      <c r="N92" s="162"/>
    </row>
    <row r="93" spans="3:13" ht="12.75">
      <c r="C93" s="161"/>
      <c r="D93" s="154"/>
      <c r="E93" s="154"/>
      <c r="K93" s="155"/>
      <c r="L93" s="154"/>
      <c r="M93" s="154"/>
    </row>
    <row r="94" spans="1:15" ht="84.75" customHeight="1">
      <c r="A94" s="415" t="s">
        <v>867</v>
      </c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</row>
  </sheetData>
  <sheetProtection password="CC4F" sheet="1" objects="1" scenarios="1"/>
  <mergeCells count="6">
    <mergeCell ref="I92:J92"/>
    <mergeCell ref="A94:O94"/>
    <mergeCell ref="B2:G2"/>
    <mergeCell ref="J2:O2"/>
    <mergeCell ref="E3:F3"/>
    <mergeCell ref="M3:N3"/>
  </mergeCells>
  <printOptions/>
  <pageMargins left="0.3937007874015748" right="0.3937007874015748" top="0.5118110236220472" bottom="0.4724409448818898" header="0.31496062992125984" footer="0.31496062992125984"/>
  <pageSetup horizontalDpi="200" verticalDpi="200" orientation="landscape" paperSize="9" scale="72" r:id="rId1"/>
  <headerFooter alignWithMargins="0">
    <oddHeader>&amp;L&amp;"Arial,tučné kurzíva"&amp;12Rozpočet na rok 2014&amp;11 &amp;9dle kapitol&amp;R&amp;"Arial,tučné kurzíva"ZMČ 18.12.2013 příl 2a</oddHeader>
    <oddFooter>&amp;L&amp;7&amp;F&amp;C&amp;7&amp;P/&amp;N&amp;R&amp;7&amp;P/&amp;N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AL1" sqref="AL1"/>
    </sheetView>
  </sheetViews>
  <sheetFormatPr defaultColWidth="9.140625" defaultRowHeight="12.75"/>
  <cols>
    <col min="1" max="1" width="20.7109375" style="309" customWidth="1"/>
    <col min="2" max="2" width="9.421875" style="309" hidden="1" customWidth="1"/>
    <col min="3" max="6" width="8.7109375" style="300" hidden="1" customWidth="1"/>
    <col min="7" max="7" width="10.421875" style="353" hidden="1" customWidth="1"/>
    <col min="8" max="8" width="8.7109375" style="300" customWidth="1"/>
    <col min="9" max="9" width="8.7109375" style="301" customWidth="1"/>
    <col min="10" max="10" width="8.7109375" style="301" hidden="1" customWidth="1"/>
    <col min="11" max="11" width="7.57421875" style="300" hidden="1" customWidth="1"/>
    <col min="12" max="12" width="9.28125" style="300" hidden="1" customWidth="1"/>
    <col min="13" max="13" width="9.28125" style="210" customWidth="1"/>
    <col min="14" max="14" width="7.57421875" style="300" hidden="1" customWidth="1"/>
    <col min="15" max="15" width="8.7109375" style="300" hidden="1" customWidth="1"/>
    <col min="16" max="16" width="8.7109375" style="300" customWidth="1"/>
    <col min="17" max="17" width="7.57421875" style="300" customWidth="1"/>
    <col min="18" max="18" width="8.57421875" style="300" hidden="1" customWidth="1"/>
    <col min="19" max="20" width="8.7109375" style="300" hidden="1" customWidth="1"/>
    <col min="21" max="21" width="8.7109375" style="300" customWidth="1"/>
    <col min="22" max="23" width="8.140625" style="300" hidden="1" customWidth="1"/>
    <col min="24" max="24" width="8.7109375" style="300" hidden="1" customWidth="1"/>
    <col min="25" max="25" width="8.140625" style="300" hidden="1" customWidth="1"/>
    <col min="26" max="26" width="8.57421875" style="300" customWidth="1"/>
    <col min="27" max="27" width="8.7109375" style="300" hidden="1" customWidth="1"/>
    <col min="28" max="28" width="8.140625" style="300" hidden="1" customWidth="1"/>
    <col min="29" max="29" width="8.57421875" style="300" customWidth="1"/>
    <col min="30" max="30" width="8.57421875" style="300" hidden="1" customWidth="1"/>
    <col min="31" max="31" width="8.140625" style="309" hidden="1" customWidth="1"/>
    <col min="32" max="32" width="8.57421875" style="300" customWidth="1"/>
    <col min="33" max="33" width="8.57421875" style="309" hidden="1" customWidth="1"/>
    <col min="34" max="35" width="8.57421875" style="309" customWidth="1"/>
    <col min="36" max="16384" width="9.140625" style="309" customWidth="1"/>
  </cols>
  <sheetData>
    <row r="1" spans="1:32" s="303" customFormat="1" ht="15.75">
      <c r="A1" s="206"/>
      <c r="B1" s="207"/>
      <c r="C1" s="208"/>
      <c r="D1" s="208"/>
      <c r="E1" s="208"/>
      <c r="F1" s="208"/>
      <c r="G1" s="209"/>
      <c r="H1" s="300"/>
      <c r="I1" s="301"/>
      <c r="J1" s="301"/>
      <c r="K1" s="300"/>
      <c r="L1" s="300"/>
      <c r="M1" s="210"/>
      <c r="N1" s="300"/>
      <c r="O1" s="300"/>
      <c r="P1" s="210"/>
      <c r="Q1" s="21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2"/>
      <c r="AC1" s="302"/>
      <c r="AD1" s="302"/>
      <c r="AF1" s="304"/>
    </row>
    <row r="2" spans="1:35" ht="13.5" thickBot="1">
      <c r="A2" s="303"/>
      <c r="B2" s="303"/>
      <c r="C2" s="304"/>
      <c r="D2" s="304"/>
      <c r="E2" s="304"/>
      <c r="F2" s="304"/>
      <c r="G2" s="305"/>
      <c r="H2" s="304"/>
      <c r="I2" s="306"/>
      <c r="J2" s="306"/>
      <c r="K2" s="307" t="s">
        <v>838</v>
      </c>
      <c r="L2" s="307"/>
      <c r="M2" s="211"/>
      <c r="N2" s="308" t="s">
        <v>838</v>
      </c>
      <c r="O2" s="308"/>
      <c r="P2" s="308"/>
      <c r="Q2" s="308"/>
      <c r="R2" s="308"/>
      <c r="S2" s="308"/>
      <c r="T2" s="308"/>
      <c r="U2" s="308"/>
      <c r="V2" s="308" t="s">
        <v>838</v>
      </c>
      <c r="Y2" s="308"/>
      <c r="Z2" s="308"/>
      <c r="AA2" s="308"/>
      <c r="AB2" s="308"/>
      <c r="AC2" s="308"/>
      <c r="AD2" s="308"/>
      <c r="AI2" s="308" t="s">
        <v>879</v>
      </c>
    </row>
    <row r="3" spans="1:35" s="314" customFormat="1" ht="36" thickBot="1">
      <c r="A3" s="212" t="s">
        <v>880</v>
      </c>
      <c r="B3" s="213" t="s">
        <v>881</v>
      </c>
      <c r="C3" s="310" t="s">
        <v>882</v>
      </c>
      <c r="D3" s="310" t="s">
        <v>883</v>
      </c>
      <c r="E3" s="310" t="s">
        <v>884</v>
      </c>
      <c r="F3" s="310" t="s">
        <v>885</v>
      </c>
      <c r="G3" s="311" t="s">
        <v>886</v>
      </c>
      <c r="H3" s="214" t="s">
        <v>887</v>
      </c>
      <c r="I3" s="215" t="s">
        <v>888</v>
      </c>
      <c r="J3" s="215" t="s">
        <v>889</v>
      </c>
      <c r="K3" s="214" t="s">
        <v>890</v>
      </c>
      <c r="L3" s="218" t="s">
        <v>891</v>
      </c>
      <c r="M3" s="216" t="s">
        <v>892</v>
      </c>
      <c r="N3" s="214" t="s">
        <v>893</v>
      </c>
      <c r="O3" s="218" t="s">
        <v>894</v>
      </c>
      <c r="P3" s="214" t="s">
        <v>895</v>
      </c>
      <c r="Q3" s="214" t="s">
        <v>896</v>
      </c>
      <c r="R3" s="218" t="s">
        <v>918</v>
      </c>
      <c r="S3" s="218" t="s">
        <v>919</v>
      </c>
      <c r="T3" s="312" t="s">
        <v>897</v>
      </c>
      <c r="U3" s="312" t="s">
        <v>699</v>
      </c>
      <c r="V3" s="214" t="s">
        <v>898</v>
      </c>
      <c r="W3" s="217" t="s">
        <v>899</v>
      </c>
      <c r="X3" s="217" t="s">
        <v>920</v>
      </c>
      <c r="Y3" s="214" t="s">
        <v>900</v>
      </c>
      <c r="Z3" s="214" t="s">
        <v>921</v>
      </c>
      <c r="AA3" s="217" t="s">
        <v>900</v>
      </c>
      <c r="AB3" s="214" t="s">
        <v>901</v>
      </c>
      <c r="AC3" s="214" t="s">
        <v>922</v>
      </c>
      <c r="AD3" s="217" t="s">
        <v>901</v>
      </c>
      <c r="AE3" s="218" t="s">
        <v>902</v>
      </c>
      <c r="AF3" s="214" t="s">
        <v>923</v>
      </c>
      <c r="AG3" s="219" t="s">
        <v>903</v>
      </c>
      <c r="AH3" s="218" t="s">
        <v>924</v>
      </c>
      <c r="AI3" s="313" t="s">
        <v>925</v>
      </c>
    </row>
    <row r="4" spans="1:35" ht="12.75">
      <c r="A4" s="220"/>
      <c r="B4" s="221"/>
      <c r="C4" s="222"/>
      <c r="D4" s="222"/>
      <c r="E4" s="223"/>
      <c r="F4" s="224"/>
      <c r="G4" s="315"/>
      <c r="H4" s="225"/>
      <c r="I4" s="226"/>
      <c r="J4" s="226"/>
      <c r="K4" s="225"/>
      <c r="L4" s="225"/>
      <c r="M4" s="227"/>
      <c r="N4" s="225"/>
      <c r="O4" s="225"/>
      <c r="P4" s="225"/>
      <c r="Q4" s="225"/>
      <c r="R4" s="225"/>
      <c r="S4" s="225"/>
      <c r="T4" s="225"/>
      <c r="U4" s="227"/>
      <c r="V4" s="225"/>
      <c r="W4" s="228"/>
      <c r="X4" s="228"/>
      <c r="Y4" s="225"/>
      <c r="Z4" s="225"/>
      <c r="AA4" s="228"/>
      <c r="AB4" s="225"/>
      <c r="AC4" s="225"/>
      <c r="AD4" s="228"/>
      <c r="AE4" s="229"/>
      <c r="AF4" s="225"/>
      <c r="AG4" s="230"/>
      <c r="AH4" s="229"/>
      <c r="AI4" s="316"/>
    </row>
    <row r="5" spans="1:36" ht="24">
      <c r="A5" s="231" t="s">
        <v>904</v>
      </c>
      <c r="B5" s="317">
        <f>10/10*10987.6</f>
        <v>10987.6</v>
      </c>
      <c r="C5" s="318">
        <f>10/10*10259.9*0+(10546.603+0.397)</f>
        <v>10547</v>
      </c>
      <c r="D5" s="232">
        <f>C5*1.005-0.1995-10599.5355+11091.21231-0.21231</f>
        <v>11090.999999999998</v>
      </c>
      <c r="E5" s="232">
        <f>D5*1.005+0.445-11146.9+11189.1408-0.1408</f>
        <v>11188.999999999996</v>
      </c>
      <c r="F5" s="232">
        <f>E5*1.005+0.185-11245.13+10321.78706+0.21294</f>
        <v>10321.999999999995</v>
      </c>
      <c r="G5" s="319">
        <f>F5*1.005-0.075*0+0.39-10374+10818</f>
        <v>10817.999999999993</v>
      </c>
      <c r="H5" s="232">
        <f>F5*1.005-0.075*0+0.39-10374+10122.21594</f>
        <v>10122.215939999993</v>
      </c>
      <c r="I5" s="232">
        <f>H5*1.005-0.335*0+0.13-10172.95702+13585.47128</f>
        <v>13585.47127969999</v>
      </c>
      <c r="J5" s="233">
        <f>(H5*0+I5)*1.005+0.405*0-0.13*0+0.5</f>
        <v>13653.898636098489</v>
      </c>
      <c r="K5" s="233">
        <f>(I5*0+J5)*1.005+0.405*0-0.13*0+0.5-13722.66813+14400</f>
        <v>14399.99999927898</v>
      </c>
      <c r="L5" s="233">
        <v>14420</v>
      </c>
      <c r="M5" s="234">
        <v>14086.98539</v>
      </c>
      <c r="N5" s="233">
        <f>K5*1.005-0.39*0</f>
        <v>14471.999999275373</v>
      </c>
      <c r="O5" s="320">
        <v>11703</v>
      </c>
      <c r="P5" s="233">
        <f>12011.62953</f>
        <v>12011.62953</v>
      </c>
      <c r="Q5" s="233">
        <v>11678</v>
      </c>
      <c r="R5" s="233">
        <f>M5*1.005-0.42032*0+0.579683</f>
        <v>14157.999999949998</v>
      </c>
      <c r="S5" s="233">
        <f>O5*1.005+0.485*0-0.515</f>
        <v>11761</v>
      </c>
      <c r="T5" s="321">
        <f>1081+1800+8700</f>
        <v>11581</v>
      </c>
      <c r="U5" s="321">
        <f>1081+1800+(8700*0+7500)</f>
        <v>10381</v>
      </c>
      <c r="V5" s="233">
        <f>N5*1.005+0.35*0+0.64</f>
        <v>14544.999999271748</v>
      </c>
      <c r="W5" s="235">
        <f>V5*1.005+0.085*0+0.275</f>
        <v>14617.999999268104</v>
      </c>
      <c r="X5" s="235">
        <f>T5*1.005+0.095</f>
        <v>11638.999999999998</v>
      </c>
      <c r="Y5" s="233">
        <f>W5*1.005+0.085*0-0.09</f>
        <v>14690.999999264443</v>
      </c>
      <c r="Z5" s="233">
        <f>U5*1.005+0.095</f>
        <v>10432.999999999998</v>
      </c>
      <c r="AA5" s="235">
        <f>X5*1.005-0.195</f>
        <v>11696.999999999996</v>
      </c>
      <c r="AB5" s="233">
        <f>Y5*1.005+0.085*0+0.545</f>
        <v>14764.999999260763</v>
      </c>
      <c r="AC5" s="233">
        <f>AA5*1.005-0.485</f>
        <v>11754.999999999995</v>
      </c>
      <c r="AD5" s="235">
        <f>AA5*1.005+4.515</f>
        <v>11759.999999999995</v>
      </c>
      <c r="AE5" s="233">
        <f>AB5*1.005+0.175</f>
        <v>14838.999999257065</v>
      </c>
      <c r="AF5" s="233">
        <f>AC5*1.005+0.225</f>
        <v>11813.999999999993</v>
      </c>
      <c r="AG5" s="232">
        <f>AE5*1.005-0.195</f>
        <v>14912.999999253349</v>
      </c>
      <c r="AH5" s="233">
        <f>AF5*1.005-0.07</f>
        <v>11872.99999999999</v>
      </c>
      <c r="AI5" s="293">
        <f>AH5*1.005+0.635</f>
        <v>11932.999999999989</v>
      </c>
      <c r="AJ5" s="354">
        <v>0.005</v>
      </c>
    </row>
    <row r="6" spans="1:36" ht="24">
      <c r="A6" s="231" t="s">
        <v>905</v>
      </c>
      <c r="B6" s="317">
        <f>5/5*1341.03+6/6*1150.47+8/8*105.09+9/9*9204+10/10*-2609.06</f>
        <v>9191.53</v>
      </c>
      <c r="C6" s="318">
        <f>(5/5*1464+6/6*205+8/8*220+9/9*1700+10/10*-2922.8-666.2)+(1985.1864-0.1864)</f>
        <v>1984.9999999999998</v>
      </c>
      <c r="D6" s="232">
        <f>(C6+2004/2004*3272.8)*1.02+0.22-5363.176+3962.98819+0.01181</f>
        <v>3963</v>
      </c>
      <c r="E6" s="232">
        <f>D6*1.02-0.36-4041.9+4738.37904-0.37904*0+0.62096</f>
        <v>4739</v>
      </c>
      <c r="F6" s="232">
        <f>E6*1.02+0.04-4833.82+5707.70721+(0.29279-0.70721*0)</f>
        <v>5708</v>
      </c>
      <c r="G6" s="319">
        <f>F6*1.02+0.4*0-0.16-5822+1800+2122/2122*2000*0</f>
        <v>1800</v>
      </c>
      <c r="H6" s="232">
        <f>F6*1.02+0.4*0-0.16-5822+3233.0081</f>
        <v>3233.0081</v>
      </c>
      <c r="I6" s="232">
        <f>H6*1.02-0.28*0-0.44-3297.228262+3735.47641</f>
        <v>3735.47641</v>
      </c>
      <c r="J6" s="233">
        <f>(H6*0+I6)*1.02+0.02*0+0.24*0+0.4</f>
        <v>3810.5859382000003</v>
      </c>
      <c r="K6" s="233">
        <f>(I6*0+J6)*1.02+0.02*0+0.24*0+0.4-3887.197657+13265</f>
        <v>13264.999999964</v>
      </c>
      <c r="L6" s="233">
        <v>3213.2</v>
      </c>
      <c r="M6" s="234">
        <v>4684.54291</v>
      </c>
      <c r="N6" s="233">
        <f>K6*1.02-0.14*0-0.3</f>
        <v>13529.999999963282</v>
      </c>
      <c r="O6" s="320">
        <f>2495</f>
        <v>2495</v>
      </c>
      <c r="P6" s="233">
        <v>4437.61149</v>
      </c>
      <c r="Q6" s="321">
        <f>85570*0+(82628*0+84178*0+92794.4*0+96166.8)-Q5-Q10</f>
        <v>6167.800000000003</v>
      </c>
      <c r="R6" s="233">
        <f>M6*1.02-0.2337682</f>
        <v>4778</v>
      </c>
      <c r="S6" s="233">
        <f>O6*1.02+0.1</f>
        <v>2545</v>
      </c>
      <c r="T6" s="321">
        <f>85570-T5-T10</f>
        <v>1550</v>
      </c>
      <c r="U6" s="321">
        <f>85570*0+(82628*0+84178)-U5-U10</f>
        <v>1550</v>
      </c>
      <c r="V6" s="233">
        <f>N6*1.02+0.44*0+0.4</f>
        <v>13800.999999962547</v>
      </c>
      <c r="W6" s="235">
        <f>V6*1.02-0.04*0-0.02</f>
        <v>14076.999999961798</v>
      </c>
      <c r="X6" s="235">
        <f>T6*1.02</f>
        <v>1581</v>
      </c>
      <c r="Y6" s="233">
        <f>W6*1.02-0.04*0+0.46</f>
        <v>14358.999999961034</v>
      </c>
      <c r="Z6" s="233">
        <f>U6*1.02</f>
        <v>1581</v>
      </c>
      <c r="AA6" s="235">
        <f>X6*1.02+0.38</f>
        <v>1613.0000000000002</v>
      </c>
      <c r="AB6" s="233">
        <f>Y6*1.02-0.04*0-0.18</f>
        <v>14645.999999960255</v>
      </c>
      <c r="AC6" s="233">
        <f>AA6*1.02-0.26</f>
        <v>1645.0000000000002</v>
      </c>
      <c r="AD6" s="235">
        <f>AA6*1.02+4.74</f>
        <v>1650.0000000000002</v>
      </c>
      <c r="AE6" s="233">
        <f>AB6*1.02+0.08</f>
        <v>14938.99999995946</v>
      </c>
      <c r="AF6" s="233">
        <f>AC6*1.02+0.1</f>
        <v>1678.0000000000002</v>
      </c>
      <c r="AG6" s="232">
        <f>AE6*1.02-0.04*0-0.18+0.4</f>
        <v>15237.999999958649</v>
      </c>
      <c r="AH6" s="233">
        <f>AF6*1.02+0.44</f>
        <v>1712.0000000000002</v>
      </c>
      <c r="AI6" s="293">
        <f>AH6*1.02-0.24</f>
        <v>1746.0000000000002</v>
      </c>
      <c r="AJ6" s="354">
        <v>0.02</v>
      </c>
    </row>
    <row r="7" spans="1:36" ht="24">
      <c r="A7" s="236" t="s">
        <v>906</v>
      </c>
      <c r="B7" s="317">
        <v>0</v>
      </c>
      <c r="C7" s="317">
        <v>0</v>
      </c>
      <c r="D7" s="240">
        <f>0+380</f>
        <v>380</v>
      </c>
      <c r="E7" s="237">
        <v>0</v>
      </c>
      <c r="F7" s="238">
        <v>0</v>
      </c>
      <c r="G7" s="322">
        <v>0</v>
      </c>
      <c r="H7" s="237">
        <f>0+250</f>
        <v>250</v>
      </c>
      <c r="I7" s="238">
        <v>0</v>
      </c>
      <c r="J7" s="237">
        <v>0</v>
      </c>
      <c r="K7" s="237">
        <v>0</v>
      </c>
      <c r="L7" s="237">
        <v>0</v>
      </c>
      <c r="M7" s="239">
        <v>0</v>
      </c>
      <c r="N7" s="237">
        <v>0</v>
      </c>
      <c r="O7" s="323">
        <v>0</v>
      </c>
      <c r="P7" s="237">
        <v>0</v>
      </c>
      <c r="Q7" s="237">
        <v>0</v>
      </c>
      <c r="R7" s="237">
        <v>0</v>
      </c>
      <c r="S7" s="237">
        <v>0</v>
      </c>
      <c r="T7" s="237">
        <v>0</v>
      </c>
      <c r="U7" s="239">
        <v>0</v>
      </c>
      <c r="V7" s="237">
        <v>0</v>
      </c>
      <c r="W7" s="238">
        <v>0</v>
      </c>
      <c r="X7" s="238">
        <v>0</v>
      </c>
      <c r="Y7" s="237">
        <v>0</v>
      </c>
      <c r="Z7" s="238"/>
      <c r="AA7" s="238">
        <v>0</v>
      </c>
      <c r="AB7" s="237">
        <v>0</v>
      </c>
      <c r="AC7" s="237">
        <v>0</v>
      </c>
      <c r="AD7" s="238">
        <v>0</v>
      </c>
      <c r="AE7" s="237">
        <v>0</v>
      </c>
      <c r="AF7" s="237">
        <v>0</v>
      </c>
      <c r="AG7" s="240">
        <v>0</v>
      </c>
      <c r="AH7" s="237">
        <v>0</v>
      </c>
      <c r="AI7" s="241">
        <v>0</v>
      </c>
      <c r="AJ7" s="355"/>
    </row>
    <row r="8" spans="1:36" ht="13.5" thickBot="1">
      <c r="A8" s="242" t="s">
        <v>907</v>
      </c>
      <c r="B8" s="243">
        <f aca="true" t="shared" si="0" ref="B8:AI8">SUM(B5:B7)</f>
        <v>20179.13</v>
      </c>
      <c r="C8" s="243">
        <f t="shared" si="0"/>
        <v>12532</v>
      </c>
      <c r="D8" s="243">
        <f t="shared" si="0"/>
        <v>15433.999999999998</v>
      </c>
      <c r="E8" s="243">
        <f t="shared" si="0"/>
        <v>15927.999999999996</v>
      </c>
      <c r="F8" s="243">
        <f t="shared" si="0"/>
        <v>16029.999999999995</v>
      </c>
      <c r="G8" s="324">
        <f t="shared" si="0"/>
        <v>12617.999999999993</v>
      </c>
      <c r="H8" s="244">
        <f t="shared" si="0"/>
        <v>13605.224039999994</v>
      </c>
      <c r="I8" s="244">
        <f t="shared" si="0"/>
        <v>17320.94768969999</v>
      </c>
      <c r="J8" s="244">
        <f t="shared" si="0"/>
        <v>17464.48457429849</v>
      </c>
      <c r="K8" s="244">
        <f t="shared" si="0"/>
        <v>27664.99999924298</v>
      </c>
      <c r="L8" s="244">
        <f t="shared" si="0"/>
        <v>17633.2</v>
      </c>
      <c r="M8" s="245">
        <f t="shared" si="0"/>
        <v>18771.528299999998</v>
      </c>
      <c r="N8" s="244">
        <f t="shared" si="0"/>
        <v>28001.999999238655</v>
      </c>
      <c r="O8" s="325">
        <f t="shared" si="0"/>
        <v>14198</v>
      </c>
      <c r="P8" s="244">
        <f t="shared" si="0"/>
        <v>16449.24102</v>
      </c>
      <c r="Q8" s="244">
        <f t="shared" si="0"/>
        <v>17845.800000000003</v>
      </c>
      <c r="R8" s="244">
        <f t="shared" si="0"/>
        <v>18935.99999995</v>
      </c>
      <c r="S8" s="244">
        <f t="shared" si="0"/>
        <v>14306</v>
      </c>
      <c r="T8" s="244">
        <f t="shared" si="0"/>
        <v>13131</v>
      </c>
      <c r="U8" s="245">
        <f t="shared" si="0"/>
        <v>11931</v>
      </c>
      <c r="V8" s="244">
        <f t="shared" si="0"/>
        <v>28345.999999234293</v>
      </c>
      <c r="W8" s="246">
        <f t="shared" si="0"/>
        <v>28694.9999992299</v>
      </c>
      <c r="X8" s="246">
        <f t="shared" si="0"/>
        <v>13219.999999999998</v>
      </c>
      <c r="Y8" s="244">
        <f t="shared" si="0"/>
        <v>29049.999999225474</v>
      </c>
      <c r="Z8" s="244">
        <f t="shared" si="0"/>
        <v>12013.999999999998</v>
      </c>
      <c r="AA8" s="246">
        <f t="shared" si="0"/>
        <v>13309.999999999996</v>
      </c>
      <c r="AB8" s="244">
        <f t="shared" si="0"/>
        <v>29410.999999221018</v>
      </c>
      <c r="AC8" s="244">
        <f t="shared" si="0"/>
        <v>13399.999999999995</v>
      </c>
      <c r="AD8" s="246">
        <f t="shared" si="0"/>
        <v>13409.999999999995</v>
      </c>
      <c r="AE8" s="244">
        <f t="shared" si="0"/>
        <v>29777.999999216525</v>
      </c>
      <c r="AF8" s="244">
        <f t="shared" si="0"/>
        <v>13491.999999999993</v>
      </c>
      <c r="AG8" s="247">
        <f t="shared" si="0"/>
        <v>30150.999999212</v>
      </c>
      <c r="AH8" s="244">
        <f t="shared" si="0"/>
        <v>13584.99999999999</v>
      </c>
      <c r="AI8" s="248">
        <f t="shared" si="0"/>
        <v>13678.999999999989</v>
      </c>
      <c r="AJ8" s="355"/>
    </row>
    <row r="9" spans="1:36" ht="12.75">
      <c r="A9" s="220"/>
      <c r="B9" s="221"/>
      <c r="C9" s="222"/>
      <c r="D9" s="222"/>
      <c r="E9" s="223"/>
      <c r="F9" s="224"/>
      <c r="G9" s="315"/>
      <c r="H9" s="225"/>
      <c r="I9" s="228"/>
      <c r="J9" s="225"/>
      <c r="K9" s="225"/>
      <c r="L9" s="225"/>
      <c r="M9" s="227"/>
      <c r="N9" s="225"/>
      <c r="O9" s="326"/>
      <c r="P9" s="225"/>
      <c r="Q9" s="225"/>
      <c r="R9" s="256"/>
      <c r="S9" s="256"/>
      <c r="T9" s="256"/>
      <c r="U9" s="257"/>
      <c r="V9" s="225"/>
      <c r="W9" s="228"/>
      <c r="X9" s="228"/>
      <c r="Y9" s="225"/>
      <c r="Z9" s="228"/>
      <c r="AA9" s="228"/>
      <c r="AB9" s="225"/>
      <c r="AC9" s="228"/>
      <c r="AD9" s="228"/>
      <c r="AE9" s="225"/>
      <c r="AF9" s="249"/>
      <c r="AG9" s="249"/>
      <c r="AH9" s="249"/>
      <c r="AI9" s="250"/>
      <c r="AJ9" s="355"/>
    </row>
    <row r="10" spans="1:36" ht="24">
      <c r="A10" s="236" t="s">
        <v>908</v>
      </c>
      <c r="B10" s="317">
        <f>1/1*13900+2/2*10806+3/3*1200+4/4*20231+5/5*2096.48+6/6*42+7/7*84+8/8*150.69+9/9*875.4+10/10*52459.11</f>
        <v>101844.68000000001</v>
      </c>
      <c r="C10" s="318">
        <f>(1/1*0+2/2*850+3/3*1350+4/4*8889.8+5/5*568.8+6/6*5040.3+7/7*53+8/8*3836.5+9/9*439.4+10/10*51562.8-72590.6)+182448.31568-0.31568-4134/4134*99045.09887+0.09887</f>
        <v>83403</v>
      </c>
      <c r="D10" s="240">
        <f>(1/1*0+2/2*850+3/3*1350+4/4*8889.8+5/5*568.8+6/6*5040.3+7/7*53+8/8*3836.5+9/9*439.4)*0+(4/4*3000+6/6*3000+8/8*2500+9/9*500)+10/10*(16836+24233+9021/9021*12000)-62069+179416.21408-0.21408-4134/4134*102421.25061+0.2506</f>
        <v>76994.99999</v>
      </c>
      <c r="E10" s="232">
        <f>D10*1.02-0.38-78534.51999+195443.36484-0.36484-4134/4134*101603.08961+0.08961</f>
        <v>93839.9999998</v>
      </c>
      <c r="F10" s="232">
        <f>E10*1.02-0.2-95716.5999998+221241.88505+0.11495-4134/4134*(112205.63275+0.36725)</f>
        <v>109035.99999999601</v>
      </c>
      <c r="G10" s="319">
        <f>F10*1.02-0.52*0+0.28-111217+214764.5-4234/4234*105153</f>
        <v>109611.49999999593</v>
      </c>
      <c r="H10" s="232">
        <f>F10*1.02-0.52*0+0.28-111217+411/411*38744.497+421/421*4950+412/412*40958.93476+422/422*21500+413/413*63650</f>
        <v>169803.43175999593</v>
      </c>
      <c r="I10" s="232">
        <f>H10*1.02+0.66-173200.1604+411/411*46255.3+412/412*46666.35628+422/422*15000+413/413*7000+415/415*62.91212</f>
        <v>114984.56839519585</v>
      </c>
      <c r="J10" s="233">
        <f>(H10*0+I10)*1.02+0.3*0+0.16*0+0.6</f>
        <v>117284.85976309977</v>
      </c>
      <c r="K10" s="233">
        <f>(I10*0+J10)*1.02+0.3*0+0.16*0+0.6-119631.156958+(411/411*16653+412/412*(31120*0+17022011/17022011*29049)+413/413*12256)</f>
        <v>57958.00000036176</v>
      </c>
      <c r="L10" s="237">
        <f>221527.9-104088</f>
        <v>117439.9</v>
      </c>
      <c r="M10" s="239">
        <f>240171.53784-124515.11583</f>
        <v>115656.42201000001</v>
      </c>
      <c r="N10" s="233">
        <f>K10*1.02-0.22*0+0.42*0-0.16</f>
        <v>59117.00000036899</v>
      </c>
      <c r="O10" s="323">
        <f>201892-110050</f>
        <v>91842</v>
      </c>
      <c r="P10" s="237">
        <f>179785.06671-88835.42773</f>
        <v>90949.63898000002</v>
      </c>
      <c r="Q10" s="321">
        <f>4112/4112*(15772+1611.4)+4121/4121*46663+9021/9021*14274.6</f>
        <v>78321</v>
      </c>
      <c r="R10" s="233">
        <f>M10*1.02-0.5504502</f>
        <v>117969.00000000001</v>
      </c>
      <c r="S10" s="233">
        <f>O10*1.02+0.16</f>
        <v>93679</v>
      </c>
      <c r="T10" s="321">
        <f>4112/4112*15772+4121/4121*37667+9021/9021*19000</f>
        <v>72439</v>
      </c>
      <c r="U10" s="321">
        <f>4112/4112*15772*0+15917+4121/4121*37667*0+37330+9021/9021*19000</f>
        <v>72247</v>
      </c>
      <c r="V10" s="233">
        <f>N10*1.02+0.5*0+0.4*0-0.34-1554</f>
        <v>58745.00000037638</v>
      </c>
      <c r="W10" s="235">
        <f>V10*1.02+0.28*0-0.1*0+0.02+0.08-316</f>
        <v>59604.00000038391</v>
      </c>
      <c r="X10" s="235">
        <f>T10*1.02-315.78</f>
        <v>73572</v>
      </c>
      <c r="Y10" s="233">
        <f>W10*1.02+0.28*0-0.08*0-0.1+0.02-315</f>
        <v>60481.000000391585</v>
      </c>
      <c r="Z10" s="233">
        <f>U10*1.02+0.06</f>
        <v>73692</v>
      </c>
      <c r="AA10" s="235">
        <f>X10*1.02-315.78*0-313.44</f>
        <v>74730</v>
      </c>
      <c r="AB10" s="233">
        <f>Y10*1.02+0.28*0+0.44*0+0.3+0.08-316</f>
        <v>61375.00000039942</v>
      </c>
      <c r="AC10" s="233">
        <f>AA10*1.02+0.4</f>
        <v>76225</v>
      </c>
      <c r="AD10" s="235">
        <f>AA10*1.02-315.78*0-313.44*0-482.6</f>
        <v>75742</v>
      </c>
      <c r="AE10" s="233">
        <f>AB10*1.02+0.2+0.3-316</f>
        <v>62287.00000040741</v>
      </c>
      <c r="AF10" s="233">
        <f>AC10*1.02+0.5</f>
        <v>77750</v>
      </c>
      <c r="AG10" s="232">
        <f>AE10*1.02+0.28*0+0.44*0+0.3-0.04-316</f>
        <v>63217.00000041556</v>
      </c>
      <c r="AH10" s="233">
        <f>AF10*1.02</f>
        <v>79305</v>
      </c>
      <c r="AI10" s="293">
        <f>AH10*1.02-0.1</f>
        <v>80891</v>
      </c>
      <c r="AJ10" s="354">
        <v>0.02</v>
      </c>
    </row>
    <row r="11" spans="1:36" ht="13.5" thickBot="1">
      <c r="A11" s="242" t="s">
        <v>909</v>
      </c>
      <c r="B11" s="243">
        <f aca="true" t="shared" si="1" ref="B11:AI11">B8+B10</f>
        <v>122023.81000000001</v>
      </c>
      <c r="C11" s="243">
        <f t="shared" si="1"/>
        <v>95935</v>
      </c>
      <c r="D11" s="243">
        <f t="shared" si="1"/>
        <v>92428.99999</v>
      </c>
      <c r="E11" s="243">
        <f t="shared" si="1"/>
        <v>109767.9999998</v>
      </c>
      <c r="F11" s="243">
        <f t="shared" si="1"/>
        <v>125065.99999999601</v>
      </c>
      <c r="G11" s="324">
        <f t="shared" si="1"/>
        <v>122229.49999999593</v>
      </c>
      <c r="H11" s="244">
        <f t="shared" si="1"/>
        <v>183408.65579999593</v>
      </c>
      <c r="I11" s="244">
        <f t="shared" si="1"/>
        <v>132305.51608489585</v>
      </c>
      <c r="J11" s="244">
        <f t="shared" si="1"/>
        <v>134749.34433739824</v>
      </c>
      <c r="K11" s="244">
        <f t="shared" si="1"/>
        <v>85622.99999960474</v>
      </c>
      <c r="L11" s="244">
        <f t="shared" si="1"/>
        <v>135073.1</v>
      </c>
      <c r="M11" s="245">
        <f t="shared" si="1"/>
        <v>134427.95031000001</v>
      </c>
      <c r="N11" s="244">
        <f t="shared" si="1"/>
        <v>87118.99999960765</v>
      </c>
      <c r="O11" s="325">
        <f t="shared" si="1"/>
        <v>106040</v>
      </c>
      <c r="P11" s="244">
        <f>P8+P10</f>
        <v>107398.88000000002</v>
      </c>
      <c r="Q11" s="244">
        <f>Q8+Q10</f>
        <v>96166.8</v>
      </c>
      <c r="R11" s="244">
        <f t="shared" si="1"/>
        <v>136904.99999995</v>
      </c>
      <c r="S11" s="244">
        <f t="shared" si="1"/>
        <v>107985</v>
      </c>
      <c r="T11" s="327">
        <f t="shared" si="1"/>
        <v>85570</v>
      </c>
      <c r="U11" s="327">
        <f t="shared" si="1"/>
        <v>84178</v>
      </c>
      <c r="V11" s="244">
        <f t="shared" si="1"/>
        <v>87090.99999961068</v>
      </c>
      <c r="W11" s="246">
        <f t="shared" si="1"/>
        <v>88298.9999996138</v>
      </c>
      <c r="X11" s="246">
        <f t="shared" si="1"/>
        <v>86792</v>
      </c>
      <c r="Y11" s="244">
        <f t="shared" si="1"/>
        <v>89530.99999961705</v>
      </c>
      <c r="Z11" s="244">
        <f t="shared" si="1"/>
        <v>85706</v>
      </c>
      <c r="AA11" s="246">
        <f t="shared" si="1"/>
        <v>88040</v>
      </c>
      <c r="AB11" s="244">
        <f t="shared" si="1"/>
        <v>90785.99999962044</v>
      </c>
      <c r="AC11" s="244">
        <f t="shared" si="1"/>
        <v>89625</v>
      </c>
      <c r="AD11" s="246">
        <f t="shared" si="1"/>
        <v>89152</v>
      </c>
      <c r="AE11" s="244">
        <f t="shared" si="1"/>
        <v>92064.99999962393</v>
      </c>
      <c r="AF11" s="244">
        <f t="shared" si="1"/>
        <v>91242</v>
      </c>
      <c r="AG11" s="247">
        <f t="shared" si="1"/>
        <v>93367.99999962756</v>
      </c>
      <c r="AH11" s="244">
        <f t="shared" si="1"/>
        <v>92889.99999999999</v>
      </c>
      <c r="AI11" s="248">
        <f t="shared" si="1"/>
        <v>94569.99999999999</v>
      </c>
      <c r="AJ11" s="355"/>
    </row>
    <row r="12" spans="1:36" ht="12.75">
      <c r="A12" s="251"/>
      <c r="B12" s="252"/>
      <c r="C12" s="253"/>
      <c r="D12" s="254"/>
      <c r="E12" s="254"/>
      <c r="F12" s="254"/>
      <c r="G12" s="328"/>
      <c r="H12" s="255"/>
      <c r="I12" s="255"/>
      <c r="J12" s="256"/>
      <c r="K12" s="256"/>
      <c r="L12" s="256"/>
      <c r="M12" s="257"/>
      <c r="N12" s="256"/>
      <c r="O12" s="329"/>
      <c r="P12" s="256"/>
      <c r="Q12" s="257"/>
      <c r="R12" s="256"/>
      <c r="S12" s="256"/>
      <c r="T12" s="256"/>
      <c r="U12" s="257"/>
      <c r="V12" s="256"/>
      <c r="W12" s="254"/>
      <c r="X12" s="254"/>
      <c r="Y12" s="256"/>
      <c r="Z12" s="254"/>
      <c r="AA12" s="254"/>
      <c r="AB12" s="256"/>
      <c r="AC12" s="254"/>
      <c r="AD12" s="254"/>
      <c r="AE12" s="256"/>
      <c r="AF12" s="258"/>
      <c r="AG12" s="258"/>
      <c r="AH12" s="258"/>
      <c r="AI12" s="259"/>
      <c r="AJ12" s="355"/>
    </row>
    <row r="13" spans="1:36" ht="13.5" thickBot="1">
      <c r="A13" s="251"/>
      <c r="B13" s="260"/>
      <c r="C13" s="260"/>
      <c r="D13" s="260"/>
      <c r="E13" s="260"/>
      <c r="F13" s="260"/>
      <c r="G13" s="330"/>
      <c r="H13" s="261"/>
      <c r="I13" s="261"/>
      <c r="J13" s="262"/>
      <c r="K13" s="262"/>
      <c r="L13" s="262"/>
      <c r="M13" s="263"/>
      <c r="N13" s="262"/>
      <c r="O13" s="331"/>
      <c r="P13" s="262"/>
      <c r="Q13" s="262"/>
      <c r="R13" s="262"/>
      <c r="S13" s="262"/>
      <c r="T13" s="262"/>
      <c r="U13" s="263"/>
      <c r="V13" s="262"/>
      <c r="W13" s="261"/>
      <c r="X13" s="261"/>
      <c r="Y13" s="262"/>
      <c r="Z13" s="261"/>
      <c r="AA13" s="261"/>
      <c r="AB13" s="262"/>
      <c r="AC13" s="261"/>
      <c r="AD13" s="261"/>
      <c r="AE13" s="262"/>
      <c r="AF13" s="264"/>
      <c r="AG13" s="264"/>
      <c r="AH13" s="264"/>
      <c r="AI13" s="265"/>
      <c r="AJ13" s="355"/>
    </row>
    <row r="14" spans="1:36" ht="12.75">
      <c r="A14" s="266" t="s">
        <v>910</v>
      </c>
      <c r="B14" s="332">
        <v>101493.91</v>
      </c>
      <c r="C14" s="268">
        <f>68170.5*0+175017.41625-0.41625-5344/5344*99045.09887+0.09887</f>
        <v>75972</v>
      </c>
      <c r="D14" s="267">
        <f>61533.57*12/10-3840.284-70000+188293.94315+0.05685-5344/5344*101722.48561-5342/5342*853.425-0.0894</f>
        <v>85717.99999</v>
      </c>
      <c r="E14" s="267">
        <f>D14*1.02-87432.3599898+187453.34986-0.34986-5345/5345*100753.13461-5342/5342*849.955+0.08961</f>
        <v>85850</v>
      </c>
      <c r="F14" s="267">
        <f>E14*1.02-87567+203559.05282-0.05282-5345/5345*111373.85775-5342/5342*831.775-0.36725*0+0.63275</f>
        <v>91354.00000000001</v>
      </c>
      <c r="G14" s="333">
        <f>F14*1.02+0.44*0-0.08-93181+192989.5-5345/5345*105153</f>
        <v>87836.5</v>
      </c>
      <c r="H14" s="267">
        <f>F14*1.02+0.44*0-0.08-93181+(251086.07965-156725.35565)</f>
        <v>94360.724</v>
      </c>
      <c r="I14" s="267">
        <f>H14*1.02+0.3*0+0.38-96248.31848+(218797.45931-121244.60628)</f>
        <v>97552.85303</v>
      </c>
      <c r="J14" s="267">
        <f>(H14*0+I14)*1.02-0.42*0+0.1*0</f>
        <v>99503.9100906</v>
      </c>
      <c r="K14" s="267">
        <f>(I14*0+J14)*1.02-0.42*0+0.1*0-101493.98829+(75843-2071)</f>
        <v>73772.00000241201</v>
      </c>
      <c r="L14" s="267">
        <f>201259.7-104088</f>
        <v>97171.70000000001</v>
      </c>
      <c r="M14" s="268">
        <f>220675.21814-124515.11583</f>
        <v>96160.10231000002</v>
      </c>
      <c r="N14" s="267">
        <f>K14*1.02+0.08*0+(0.14*0-0.44)</f>
        <v>75247.00000246025</v>
      </c>
      <c r="O14" s="334">
        <f>188275.9-110050</f>
        <v>78225.9</v>
      </c>
      <c r="P14" s="267">
        <f>162152.48888-87983.78673-851.641</f>
        <v>73317.06114999998</v>
      </c>
      <c r="Q14" s="267">
        <f>96107.3*0+96166.8-Q15-107/107*898*0</f>
        <v>80898.3</v>
      </c>
      <c r="R14" s="267">
        <f>M14*1.02-0.3043562</f>
        <v>98083.00000000003</v>
      </c>
      <c r="S14" s="267">
        <f>O14*1.02-0.418*0+0.582</f>
        <v>79790.99999999999</v>
      </c>
      <c r="T14" s="335">
        <f>R14*1.02-0.418*0+0.582-100045+(85570-T15)</f>
        <v>72920.69600000003</v>
      </c>
      <c r="U14" s="335">
        <f>(S14*1.02-0.418*0+0.582-100045)*0+(85570*0+84178-U15)</f>
        <v>72173</v>
      </c>
      <c r="V14" s="267">
        <f>N14*1.02+0.3*0+(-0.2*0-0.94)</f>
        <v>76751.00000250945</v>
      </c>
      <c r="W14" s="269">
        <f>V14*1.02-0.26*0+(-0.14*0-0.02)</f>
        <v>78286.00000255964</v>
      </c>
      <c r="X14" s="269">
        <f>T14*1.02-487.10992</f>
        <v>73892.00000000003</v>
      </c>
      <c r="Y14" s="267">
        <f>W14*1.02-0.26*0+(0.3*0+0.28)</f>
        <v>79852.00000261083</v>
      </c>
      <c r="Z14" s="233">
        <f>U14*1.02-0.46</f>
        <v>73616</v>
      </c>
      <c r="AA14" s="269">
        <f>X14*1.02-487.10992*0-329.84</f>
        <v>75040.00000000003</v>
      </c>
      <c r="AB14" s="267">
        <f>Y14*1.02-0.26*0+(0.1*0-0.04)</f>
        <v>81449.00000266306</v>
      </c>
      <c r="AC14" s="233">
        <f>AA14*1.02-0.8</f>
        <v>76540.00000000003</v>
      </c>
      <c r="AD14" s="269">
        <f>AA14*1.02-487.10992*0-329.84*0-388.8</f>
        <v>76152.00000000003</v>
      </c>
      <c r="AE14" s="267">
        <f>AB14*1.02+0.02</f>
        <v>83078.00000271632</v>
      </c>
      <c r="AF14" s="233">
        <f>AC14*1.02+0.2</f>
        <v>78071.00000000003</v>
      </c>
      <c r="AG14" s="270">
        <f>AE14*1.02-0.26*0+(0.1*0-0.04)+0.48</f>
        <v>84740.00000277066</v>
      </c>
      <c r="AH14" s="233">
        <f>AF14*1.02-0.42</f>
        <v>79632.00000000003</v>
      </c>
      <c r="AI14" s="293">
        <f>AH14*1.02-0.64</f>
        <v>81224.00000000003</v>
      </c>
      <c r="AJ14" s="354">
        <v>0.02</v>
      </c>
    </row>
    <row r="15" spans="1:36" ht="24">
      <c r="A15" s="231" t="s">
        <v>911</v>
      </c>
      <c r="B15" s="336">
        <v>40939.92</v>
      </c>
      <c r="C15" s="234">
        <f>27827.4*0+29837.50676+0.49324</f>
        <v>29838</v>
      </c>
      <c r="D15" s="233">
        <f>23243.38*12/10-21494.056-6398+20982.54748+0.45252</f>
        <v>20983</v>
      </c>
      <c r="E15" s="232">
        <f>D15*1.02-155+0.04-21247.7+20518.40996+0.59004</f>
        <v>20519</v>
      </c>
      <c r="F15" s="232">
        <f>E15*1.02-155.42-20773.96+32832.22895-0.22895</f>
        <v>32832.00000000001</v>
      </c>
      <c r="G15" s="319">
        <f>F15*1.02-156.86*0+0.36-33489+34393</f>
        <v>34393.00000000001</v>
      </c>
      <c r="H15" s="232">
        <f>F15*1.02-156.86*0+0.36+743-34232+78740.32723</f>
        <v>78740.32723</v>
      </c>
      <c r="I15" s="232">
        <f>H15*1.02-157.26*0+0.22-155.86-80159.4937746+33846.42806</f>
        <v>33846.428059999984</v>
      </c>
      <c r="J15" s="233">
        <f>(H15*0+I15)*1.02+(-156.64+0.46-0.04)*0-177</f>
        <v>34346.356621199986</v>
      </c>
      <c r="K15" s="233">
        <f>(I15*0+J15)*1.02+(-156.64+0.46-0.04)*0-177-34856.283753624+11851</f>
        <v>11850.999999999993</v>
      </c>
      <c r="L15" s="233">
        <v>38098.2</v>
      </c>
      <c r="M15" s="234">
        <v>39103.75603</v>
      </c>
      <c r="N15" s="233">
        <f>K15*1.02+(0.28-158.28)*0-179.46*0-216.02</f>
        <v>11871.999999999993</v>
      </c>
      <c r="O15" s="320">
        <v>31173.7</v>
      </c>
      <c r="P15" s="233">
        <v>28588.24012</v>
      </c>
      <c r="Q15" s="233">
        <v>15268.5</v>
      </c>
      <c r="R15" s="233">
        <f>M15*1.02+0.1688494</f>
        <v>39885.99999999999</v>
      </c>
      <c r="S15" s="233">
        <f>O15*1.02-0.174</f>
        <v>31797.000000000004</v>
      </c>
      <c r="T15" s="321">
        <f>R15*1.02-0.174-40684+(1/1*3000+3/3*650+8/8*5500+9/9*1500+6171/6171*2000)</f>
        <v>12649.545999999995</v>
      </c>
      <c r="U15" s="337">
        <f>S15*1.02+(-0.174-40684)*0-32432.94+(1/1*3000+3/3*650+8/8*5500+9/9*1500+6171/6171*2000)*0+3/3*650+8/8*(5500+3000)+2/2*100+9/9*(300+255+200+2000)</f>
        <v>12005.000000000007</v>
      </c>
      <c r="V15" s="233">
        <f>N15*1.02+(0.4-157.36)*0-178.88*0-215.44</f>
        <v>11893.999999999993</v>
      </c>
      <c r="W15" s="235">
        <f>V15*1.02+(0.24-158.4)*0-180.32*0-217.88</f>
        <v>11913.999999999993</v>
      </c>
      <c r="X15" s="235">
        <f>T15*1.02-2.53692</f>
        <v>12899.999999999995</v>
      </c>
      <c r="Y15" s="233">
        <f>W15*1.02+(0.24-158.4)*0-180.32*0-219.28</f>
        <v>11932.999999999993</v>
      </c>
      <c r="Z15" s="233">
        <f>U15*1.02-0.1-155</f>
        <v>12090.000000000007</v>
      </c>
      <c r="AA15" s="235">
        <f>X15*1.02-2.53692*0-158</f>
        <v>12999.999999999995</v>
      </c>
      <c r="AB15" s="233">
        <f>Y15*1.02+(0.24-158.4)*0-180.32*0-219.66</f>
        <v>11951.999999999993</v>
      </c>
      <c r="AC15" s="233">
        <f>AA15*1.02-175</f>
        <v>13084.999999999995</v>
      </c>
      <c r="AD15" s="235">
        <f>AA15*1.02-2.53692*0-158*0-260</f>
        <v>12999.999999999995</v>
      </c>
      <c r="AE15" s="233">
        <f>AB15*1.02-0.04</f>
        <v>12190.999999999993</v>
      </c>
      <c r="AF15" s="233">
        <f>AC15*1.02-175.7</f>
        <v>13170.999999999995</v>
      </c>
      <c r="AG15" s="232">
        <f>AE15*1.02+(0.24-158.4)*0-180.32*0-219.66-0.16</f>
        <v>12214.999999999993</v>
      </c>
      <c r="AH15" s="233">
        <f>AF15*1.02-0.42-176</f>
        <v>13257.999999999995</v>
      </c>
      <c r="AI15" s="293">
        <f>AH15*1.02-0.16-177</f>
        <v>13345.999999999995</v>
      </c>
      <c r="AJ15" s="354">
        <v>0.02</v>
      </c>
    </row>
    <row r="16" spans="1:35" ht="13.5" thickBot="1">
      <c r="A16" s="242" t="s">
        <v>912</v>
      </c>
      <c r="B16" s="243">
        <f aca="true" t="shared" si="2" ref="B16:AI16">B14+B15</f>
        <v>142433.83000000002</v>
      </c>
      <c r="C16" s="243">
        <f t="shared" si="2"/>
        <v>105810</v>
      </c>
      <c r="D16" s="243">
        <f t="shared" si="2"/>
        <v>106700.99999</v>
      </c>
      <c r="E16" s="243">
        <f t="shared" si="2"/>
        <v>106369</v>
      </c>
      <c r="F16" s="243">
        <f t="shared" si="2"/>
        <v>124186.00000000003</v>
      </c>
      <c r="G16" s="324">
        <f t="shared" si="2"/>
        <v>122229.5</v>
      </c>
      <c r="H16" s="244">
        <f t="shared" si="2"/>
        <v>173101.05122999998</v>
      </c>
      <c r="I16" s="244">
        <f t="shared" si="2"/>
        <v>131399.28108999997</v>
      </c>
      <c r="J16" s="244">
        <f t="shared" si="2"/>
        <v>133850.26671179998</v>
      </c>
      <c r="K16" s="244">
        <f t="shared" si="2"/>
        <v>85623.00000241201</v>
      </c>
      <c r="L16" s="244">
        <f t="shared" si="2"/>
        <v>135269.90000000002</v>
      </c>
      <c r="M16" s="245">
        <f t="shared" si="2"/>
        <v>135263.85834</v>
      </c>
      <c r="N16" s="244">
        <f t="shared" si="2"/>
        <v>87119.00000246023</v>
      </c>
      <c r="O16" s="325">
        <f t="shared" si="2"/>
        <v>109399.59999999999</v>
      </c>
      <c r="P16" s="244">
        <f t="shared" si="2"/>
        <v>101905.30126999998</v>
      </c>
      <c r="Q16" s="244">
        <f t="shared" si="2"/>
        <v>96166.8</v>
      </c>
      <c r="R16" s="244">
        <f t="shared" si="2"/>
        <v>137969.00000000003</v>
      </c>
      <c r="S16" s="244">
        <f t="shared" si="2"/>
        <v>111587.99999999999</v>
      </c>
      <c r="T16" s="244">
        <f t="shared" si="2"/>
        <v>85570.24200000003</v>
      </c>
      <c r="U16" s="245">
        <f t="shared" si="2"/>
        <v>84178</v>
      </c>
      <c r="V16" s="244">
        <f t="shared" si="2"/>
        <v>88645.00000250945</v>
      </c>
      <c r="W16" s="246">
        <f t="shared" si="2"/>
        <v>90200.00000255962</v>
      </c>
      <c r="X16" s="246">
        <f t="shared" si="2"/>
        <v>86792.00000000003</v>
      </c>
      <c r="Y16" s="244">
        <f t="shared" si="2"/>
        <v>91785.00000261082</v>
      </c>
      <c r="Z16" s="244">
        <f t="shared" si="2"/>
        <v>85706</v>
      </c>
      <c r="AA16" s="246">
        <f t="shared" si="2"/>
        <v>88040.00000000003</v>
      </c>
      <c r="AB16" s="244">
        <f t="shared" si="2"/>
        <v>93401.00000266306</v>
      </c>
      <c r="AC16" s="244">
        <f t="shared" si="2"/>
        <v>89625.00000000003</v>
      </c>
      <c r="AD16" s="246">
        <f t="shared" si="2"/>
        <v>89152.00000000003</v>
      </c>
      <c r="AE16" s="244">
        <f t="shared" si="2"/>
        <v>95269.00000271632</v>
      </c>
      <c r="AF16" s="244">
        <f t="shared" si="2"/>
        <v>91242.00000000003</v>
      </c>
      <c r="AG16" s="247">
        <f t="shared" si="2"/>
        <v>96955.00000277066</v>
      </c>
      <c r="AH16" s="244">
        <f t="shared" si="2"/>
        <v>92890.00000000003</v>
      </c>
      <c r="AI16" s="248">
        <f t="shared" si="2"/>
        <v>94570.00000000003</v>
      </c>
    </row>
    <row r="17" spans="1:35" ht="12.75">
      <c r="A17" s="220"/>
      <c r="B17" s="221"/>
      <c r="C17" s="222"/>
      <c r="D17" s="222"/>
      <c r="E17" s="223"/>
      <c r="F17" s="224"/>
      <c r="G17" s="315"/>
      <c r="H17" s="225"/>
      <c r="I17" s="226"/>
      <c r="J17" s="225"/>
      <c r="K17" s="225"/>
      <c r="L17" s="225"/>
      <c r="M17" s="227"/>
      <c r="N17" s="225"/>
      <c r="O17" s="326"/>
      <c r="P17" s="225"/>
      <c r="Q17" s="225"/>
      <c r="R17" s="225"/>
      <c r="S17" s="225"/>
      <c r="T17" s="225"/>
      <c r="U17" s="227"/>
      <c r="V17" s="225"/>
      <c r="W17" s="228"/>
      <c r="X17" s="228"/>
      <c r="Y17" s="225"/>
      <c r="Z17" s="228"/>
      <c r="AA17" s="228"/>
      <c r="AB17" s="225"/>
      <c r="AC17" s="228"/>
      <c r="AD17" s="228"/>
      <c r="AE17" s="225"/>
      <c r="AF17" s="249"/>
      <c r="AG17" s="249"/>
      <c r="AH17" s="249"/>
      <c r="AI17" s="250"/>
    </row>
    <row r="18" spans="1:35" ht="13.5" thickBot="1">
      <c r="A18" s="271"/>
      <c r="B18" s="272"/>
      <c r="C18" s="272"/>
      <c r="D18" s="272"/>
      <c r="E18" s="272"/>
      <c r="F18" s="272"/>
      <c r="G18" s="338"/>
      <c r="H18" s="273">
        <f>329826.40688-157555.92365-H16+107/107*5342/5342*830.568*0</f>
        <v>-830.5679999999702</v>
      </c>
      <c r="I18" s="273">
        <f>252643.88737-121244.60628-I16+107/107*5342/5342*830.568*0*0</f>
        <v>2.9103830456733704E-11</v>
      </c>
      <c r="J18" s="274"/>
      <c r="K18" s="274"/>
      <c r="L18" s="274"/>
      <c r="M18" s="275"/>
      <c r="N18" s="274"/>
      <c r="O18" s="339"/>
      <c r="P18" s="273"/>
      <c r="Q18" s="273"/>
      <c r="R18" s="273"/>
      <c r="S18" s="273"/>
      <c r="T18" s="273"/>
      <c r="U18" s="340"/>
      <c r="V18" s="273"/>
      <c r="W18" s="276"/>
      <c r="X18" s="276"/>
      <c r="Y18" s="273"/>
      <c r="Z18" s="276"/>
      <c r="AA18" s="276"/>
      <c r="AB18" s="273"/>
      <c r="AC18" s="276"/>
      <c r="AD18" s="276"/>
      <c r="AE18" s="273"/>
      <c r="AF18" s="277"/>
      <c r="AG18" s="277"/>
      <c r="AH18" s="277"/>
      <c r="AI18" s="278"/>
    </row>
    <row r="19" spans="1:35" s="343" customFormat="1" ht="24" thickBot="1">
      <c r="A19" s="279" t="s">
        <v>913</v>
      </c>
      <c r="B19" s="280">
        <f aca="true" t="shared" si="3" ref="B19:AI19">B11-B16</f>
        <v>-20410.020000000004</v>
      </c>
      <c r="C19" s="280">
        <f t="shared" si="3"/>
        <v>-9875</v>
      </c>
      <c r="D19" s="280">
        <f t="shared" si="3"/>
        <v>-14272</v>
      </c>
      <c r="E19" s="280">
        <f t="shared" si="3"/>
        <v>3398.9999997999985</v>
      </c>
      <c r="F19" s="280">
        <f t="shared" si="3"/>
        <v>879.9999999959837</v>
      </c>
      <c r="G19" s="341">
        <f t="shared" si="3"/>
        <v>-4.0745362639427185E-09</v>
      </c>
      <c r="H19" s="280">
        <f t="shared" si="3"/>
        <v>10307.60456999595</v>
      </c>
      <c r="I19" s="280">
        <f t="shared" si="3"/>
        <v>906.2349948958727</v>
      </c>
      <c r="J19" s="280">
        <f t="shared" si="3"/>
        <v>899.0776255982637</v>
      </c>
      <c r="K19" s="280">
        <f t="shared" si="3"/>
        <v>-2.807268174365163E-06</v>
      </c>
      <c r="L19" s="280">
        <f>L11-L16</f>
        <v>-196.80000000001746</v>
      </c>
      <c r="M19" s="281">
        <f t="shared" si="3"/>
        <v>-835.9080299999914</v>
      </c>
      <c r="N19" s="280">
        <f t="shared" si="3"/>
        <v>-2.8525828383862972E-06</v>
      </c>
      <c r="O19" s="342">
        <f t="shared" si="3"/>
        <v>-3359.5999999999913</v>
      </c>
      <c r="P19" s="280">
        <f t="shared" si="3"/>
        <v>5493.5787300000375</v>
      </c>
      <c r="Q19" s="280">
        <f t="shared" si="3"/>
        <v>0</v>
      </c>
      <c r="R19" s="280">
        <f t="shared" si="3"/>
        <v>-1064.0000000500295</v>
      </c>
      <c r="S19" s="280">
        <f t="shared" si="3"/>
        <v>-3602.9999999999854</v>
      </c>
      <c r="T19" s="280">
        <f t="shared" si="3"/>
        <v>-0.24200000002747402</v>
      </c>
      <c r="U19" s="281">
        <f t="shared" si="3"/>
        <v>0</v>
      </c>
      <c r="V19" s="280">
        <f t="shared" si="3"/>
        <v>-1554.0000028987706</v>
      </c>
      <c r="W19" s="282">
        <f t="shared" si="3"/>
        <v>-1901.000002945817</v>
      </c>
      <c r="X19" s="282">
        <f>X11-X16</f>
        <v>0</v>
      </c>
      <c r="Y19" s="280">
        <f t="shared" si="3"/>
        <v>-2254.0000029937655</v>
      </c>
      <c r="Z19" s="280">
        <f t="shared" si="3"/>
        <v>0</v>
      </c>
      <c r="AA19" s="282">
        <f>AA11-AA16</f>
        <v>0</v>
      </c>
      <c r="AB19" s="280">
        <f t="shared" si="3"/>
        <v>-2615.0000030426163</v>
      </c>
      <c r="AC19" s="280">
        <f t="shared" si="3"/>
        <v>0</v>
      </c>
      <c r="AD19" s="282">
        <f t="shared" si="3"/>
        <v>0</v>
      </c>
      <c r="AE19" s="280">
        <f t="shared" si="3"/>
        <v>-3204.000003092384</v>
      </c>
      <c r="AF19" s="280">
        <f t="shared" si="3"/>
        <v>0</v>
      </c>
      <c r="AG19" s="283">
        <f t="shared" si="3"/>
        <v>-3587.0000031430973</v>
      </c>
      <c r="AH19" s="280">
        <f t="shared" si="3"/>
        <v>0</v>
      </c>
      <c r="AI19" s="284">
        <f t="shared" si="3"/>
        <v>0</v>
      </c>
    </row>
    <row r="20" spans="1:35" ht="12.75">
      <c r="A20" s="299" t="s">
        <v>917</v>
      </c>
      <c r="B20" s="285"/>
      <c r="C20" s="285">
        <f>3735.4+1479.2+3415.8+(577.9)+2004/2004*3272.8</f>
        <v>12481.100000000002</v>
      </c>
      <c r="D20" s="344">
        <f>8/8*14426.97605-0.07605+0.1</f>
        <v>14427</v>
      </c>
      <c r="E20" s="285">
        <f>8/8*-(3399.12486-0.12486)</f>
        <v>-3399</v>
      </c>
      <c r="F20" s="285">
        <f>8/8*-(880.09755-0.09755)</f>
        <v>-880</v>
      </c>
      <c r="G20" s="345"/>
      <c r="H20" s="286">
        <f>11138.17257-H19+H18</f>
        <v>4.079993232153356E-09</v>
      </c>
      <c r="I20" s="286">
        <f>906.235-I19+I18</f>
        <v>5.1041564574916265E-06</v>
      </c>
      <c r="J20" s="287"/>
      <c r="K20" s="287"/>
      <c r="L20" s="287"/>
      <c r="M20" s="288"/>
      <c r="N20" s="287"/>
      <c r="O20" s="346"/>
      <c r="P20" s="286"/>
      <c r="Q20" s="286"/>
      <c r="R20" s="286"/>
      <c r="S20" s="286"/>
      <c r="T20" s="286"/>
      <c r="U20" s="347"/>
      <c r="V20" s="286"/>
      <c r="W20" s="260"/>
      <c r="X20" s="260"/>
      <c r="Y20" s="286"/>
      <c r="Z20" s="260"/>
      <c r="AA20" s="260"/>
      <c r="AB20" s="286"/>
      <c r="AC20" s="260"/>
      <c r="AD20" s="260"/>
      <c r="AE20" s="286"/>
      <c r="AF20" s="286"/>
      <c r="AG20" s="289"/>
      <c r="AH20" s="286"/>
      <c r="AI20" s="290"/>
    </row>
    <row r="21" spans="1:35" ht="24">
      <c r="A21" s="231" t="s">
        <v>914</v>
      </c>
      <c r="B21" s="291">
        <v>0</v>
      </c>
      <c r="C21" s="291">
        <v>0</v>
      </c>
      <c r="D21" s="291">
        <v>0</v>
      </c>
      <c r="E21" s="291">
        <v>0</v>
      </c>
      <c r="F21" s="291">
        <v>0</v>
      </c>
      <c r="G21" s="348">
        <v>0</v>
      </c>
      <c r="H21" s="233">
        <v>0</v>
      </c>
      <c r="I21" s="292">
        <v>0</v>
      </c>
      <c r="J21" s="292">
        <v>0</v>
      </c>
      <c r="K21" s="292">
        <v>0</v>
      </c>
      <c r="L21" s="292">
        <v>0</v>
      </c>
      <c r="M21" s="104">
        <v>0</v>
      </c>
      <c r="N21" s="292">
        <v>0</v>
      </c>
      <c r="O21" s="349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4">
        <v>0</v>
      </c>
      <c r="V21" s="233">
        <v>0</v>
      </c>
      <c r="W21" s="235">
        <v>0</v>
      </c>
      <c r="X21" s="235">
        <v>0</v>
      </c>
      <c r="Y21" s="233">
        <v>0</v>
      </c>
      <c r="Z21" s="233">
        <v>0</v>
      </c>
      <c r="AA21" s="235">
        <v>0</v>
      </c>
      <c r="AB21" s="233">
        <v>0</v>
      </c>
      <c r="AC21" s="233">
        <v>0</v>
      </c>
      <c r="AD21" s="235">
        <v>0</v>
      </c>
      <c r="AE21" s="233">
        <v>0</v>
      </c>
      <c r="AF21" s="233">
        <v>0</v>
      </c>
      <c r="AG21" s="232">
        <v>0</v>
      </c>
      <c r="AH21" s="233">
        <v>0</v>
      </c>
      <c r="AI21" s="293">
        <v>0</v>
      </c>
    </row>
    <row r="22" spans="1:35" ht="12.75">
      <c r="A22" s="231"/>
      <c r="B22" s="233"/>
      <c r="C22" s="233"/>
      <c r="D22" s="233"/>
      <c r="E22" s="233"/>
      <c r="F22" s="233"/>
      <c r="G22" s="350"/>
      <c r="H22" s="233"/>
      <c r="I22" s="292"/>
      <c r="J22" s="292"/>
      <c r="K22" s="292"/>
      <c r="L22" s="292"/>
      <c r="M22" s="104"/>
      <c r="N22" s="292"/>
      <c r="O22" s="349"/>
      <c r="P22" s="233"/>
      <c r="Q22" s="233"/>
      <c r="R22" s="233"/>
      <c r="S22" s="233"/>
      <c r="T22" s="233"/>
      <c r="U22" s="234"/>
      <c r="V22" s="233"/>
      <c r="W22" s="235"/>
      <c r="X22" s="235"/>
      <c r="Y22" s="233"/>
      <c r="Z22" s="233"/>
      <c r="AA22" s="235"/>
      <c r="AB22" s="233"/>
      <c r="AC22" s="233"/>
      <c r="AD22" s="235"/>
      <c r="AE22" s="233"/>
      <c r="AF22" s="233"/>
      <c r="AG22" s="232"/>
      <c r="AH22" s="233"/>
      <c r="AI22" s="293"/>
    </row>
    <row r="23" spans="1:35" ht="24">
      <c r="A23" s="231" t="s">
        <v>915</v>
      </c>
      <c r="B23" s="233">
        <v>0</v>
      </c>
      <c r="C23" s="233">
        <v>0</v>
      </c>
      <c r="D23" s="233">
        <v>0</v>
      </c>
      <c r="E23" s="233">
        <v>0</v>
      </c>
      <c r="F23" s="233">
        <v>0</v>
      </c>
      <c r="G23" s="350">
        <v>0</v>
      </c>
      <c r="H23" s="233">
        <v>0</v>
      </c>
      <c r="I23" s="292">
        <v>0</v>
      </c>
      <c r="J23" s="292">
        <v>0</v>
      </c>
      <c r="K23" s="292">
        <v>0</v>
      </c>
      <c r="L23" s="292">
        <v>0</v>
      </c>
      <c r="M23" s="104">
        <v>0</v>
      </c>
      <c r="N23" s="292">
        <v>0</v>
      </c>
      <c r="O23" s="349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4">
        <v>0</v>
      </c>
      <c r="V23" s="233">
        <v>0</v>
      </c>
      <c r="W23" s="235">
        <v>0</v>
      </c>
      <c r="X23" s="235">
        <v>0</v>
      </c>
      <c r="Y23" s="233">
        <v>0</v>
      </c>
      <c r="Z23" s="233">
        <v>0</v>
      </c>
      <c r="AA23" s="235">
        <v>0</v>
      </c>
      <c r="AB23" s="233">
        <v>0</v>
      </c>
      <c r="AC23" s="233">
        <v>0</v>
      </c>
      <c r="AD23" s="235">
        <v>0</v>
      </c>
      <c r="AE23" s="233">
        <v>0</v>
      </c>
      <c r="AF23" s="233">
        <v>0</v>
      </c>
      <c r="AG23" s="232">
        <v>0</v>
      </c>
      <c r="AH23" s="233">
        <v>0</v>
      </c>
      <c r="AI23" s="293">
        <v>0</v>
      </c>
    </row>
    <row r="24" spans="1:35" ht="13.5" thickBot="1">
      <c r="A24" s="271"/>
      <c r="B24" s="273"/>
      <c r="C24" s="273"/>
      <c r="D24" s="273"/>
      <c r="E24" s="273"/>
      <c r="F24" s="277"/>
      <c r="G24" s="351"/>
      <c r="H24" s="273"/>
      <c r="I24" s="294"/>
      <c r="J24" s="274"/>
      <c r="K24" s="274"/>
      <c r="L24" s="274"/>
      <c r="M24" s="275"/>
      <c r="N24" s="274"/>
      <c r="O24" s="339"/>
      <c r="P24" s="273"/>
      <c r="Q24" s="273"/>
      <c r="R24" s="273"/>
      <c r="S24" s="273"/>
      <c r="T24" s="273"/>
      <c r="U24" s="340"/>
      <c r="V24" s="273"/>
      <c r="W24" s="276"/>
      <c r="X24" s="276"/>
      <c r="Y24" s="273"/>
      <c r="Z24" s="273"/>
      <c r="AA24" s="276"/>
      <c r="AB24" s="273"/>
      <c r="AC24" s="273"/>
      <c r="AD24" s="276"/>
      <c r="AE24" s="273"/>
      <c r="AF24" s="273"/>
      <c r="AG24" s="277"/>
      <c r="AH24" s="273"/>
      <c r="AI24" s="278"/>
    </row>
    <row r="25" spans="1:35" ht="23.25" thickBot="1">
      <c r="A25" s="295" t="s">
        <v>916</v>
      </c>
      <c r="B25" s="280">
        <f>0</f>
        <v>0</v>
      </c>
      <c r="C25" s="280">
        <f>0</f>
        <v>0</v>
      </c>
      <c r="D25" s="280">
        <v>0</v>
      </c>
      <c r="E25" s="280">
        <v>0</v>
      </c>
      <c r="F25" s="280">
        <v>0</v>
      </c>
      <c r="G25" s="341">
        <v>0</v>
      </c>
      <c r="H25" s="280">
        <v>0</v>
      </c>
      <c r="I25" s="296">
        <v>0</v>
      </c>
      <c r="J25" s="297">
        <v>0</v>
      </c>
      <c r="K25" s="297">
        <v>0</v>
      </c>
      <c r="L25" s="297">
        <v>0</v>
      </c>
      <c r="M25" s="298">
        <v>0</v>
      </c>
      <c r="N25" s="297">
        <v>0</v>
      </c>
      <c r="O25" s="352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v>0</v>
      </c>
      <c r="U25" s="281">
        <v>0</v>
      </c>
      <c r="V25" s="280">
        <v>0</v>
      </c>
      <c r="W25" s="282">
        <v>0</v>
      </c>
      <c r="X25" s="282">
        <v>0</v>
      </c>
      <c r="Y25" s="280">
        <v>0</v>
      </c>
      <c r="Z25" s="280">
        <v>0</v>
      </c>
      <c r="AA25" s="282">
        <v>0</v>
      </c>
      <c r="AB25" s="280">
        <v>0</v>
      </c>
      <c r="AC25" s="280">
        <v>0</v>
      </c>
      <c r="AD25" s="282">
        <v>0</v>
      </c>
      <c r="AE25" s="280">
        <v>0</v>
      </c>
      <c r="AF25" s="280">
        <v>0</v>
      </c>
      <c r="AG25" s="283">
        <v>0</v>
      </c>
      <c r="AH25" s="280">
        <v>0</v>
      </c>
      <c r="AI25" s="284">
        <v>0</v>
      </c>
    </row>
  </sheetData>
  <sheetProtection password="CC4F" sheet="1" objects="1" scenarios="1"/>
  <printOptions/>
  <pageMargins left="0.787401575" right="0.787401575" top="0.984251969" bottom="0.984251969" header="0.4921259845" footer="0.4921259845"/>
  <pageSetup horizontalDpi="200" verticalDpi="200" orientation="landscape" paperSize="9" scale="95" r:id="rId1"/>
  <headerFooter alignWithMargins="0">
    <oddHeader>&amp;L&amp;"Arial,tučné kurzíva"&amp;12Rozpočtový výhled do roku 2019&amp;R&amp;"Arial,tučné kurzíva"ZMČ 18.12.2013 příl 3/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0.00390625" style="0" bestFit="1" customWidth="1"/>
    <col min="2" max="2" width="10.8515625" style="0" bestFit="1" customWidth="1"/>
    <col min="3" max="3" width="10.140625" style="0" bestFit="1" customWidth="1"/>
    <col min="4" max="4" width="11.7109375" style="0" bestFit="1" customWidth="1"/>
    <col min="6" max="6" width="7.57421875" style="0" customWidth="1"/>
    <col min="7" max="7" width="10.8515625" style="0" bestFit="1" customWidth="1"/>
    <col min="8" max="8" width="10.00390625" style="0" bestFit="1" customWidth="1"/>
  </cols>
  <sheetData>
    <row r="1" ht="12.75">
      <c r="A1" s="2"/>
    </row>
    <row r="2" ht="13.5" thickBot="1"/>
    <row r="3" spans="1:4" ht="12.75">
      <c r="A3" s="189" t="s">
        <v>869</v>
      </c>
      <c r="B3" s="190">
        <v>160000</v>
      </c>
      <c r="C3" s="191"/>
      <c r="D3" s="192"/>
    </row>
    <row r="4" spans="1:4" ht="12.75">
      <c r="A4" s="193" t="s">
        <v>870</v>
      </c>
      <c r="B4" s="194"/>
      <c r="C4" s="194">
        <f>29569000*3%-70</f>
        <v>887000</v>
      </c>
      <c r="D4" s="195"/>
    </row>
    <row r="5" spans="1:4" ht="12.75">
      <c r="A5" s="193" t="s">
        <v>871</v>
      </c>
      <c r="B5" s="194"/>
      <c r="C5" s="196"/>
      <c r="D5" s="197">
        <f>17*(12*20-20)*97.588+5020.88</f>
        <v>370000</v>
      </c>
    </row>
    <row r="6" spans="1:4" ht="12.75">
      <c r="A6" s="193" t="s">
        <v>872</v>
      </c>
      <c r="B6" s="194"/>
      <c r="C6" s="196"/>
      <c r="D6" s="197">
        <f>4*30000</f>
        <v>120000</v>
      </c>
    </row>
    <row r="7" spans="1:4" ht="12.75">
      <c r="A7" s="193" t="s">
        <v>873</v>
      </c>
      <c r="B7" s="196"/>
      <c r="C7" s="194">
        <f>6000*5+1500*4*12</f>
        <v>102000</v>
      </c>
      <c r="D7" s="195"/>
    </row>
    <row r="8" spans="1:4" ht="12.75">
      <c r="A8" s="193" t="s">
        <v>874</v>
      </c>
      <c r="B8" s="194"/>
      <c r="C8" s="196"/>
      <c r="D8" s="197">
        <f>2*13500+(7*9000+9000*1.4)+8*6000+(97.5-18)*4500-8350</f>
        <v>500000</v>
      </c>
    </row>
    <row r="9" spans="1:4" ht="12.75">
      <c r="A9" s="193" t="s">
        <v>875</v>
      </c>
      <c r="B9" s="194"/>
      <c r="C9" s="196"/>
      <c r="D9" s="197">
        <f>8*2000</f>
        <v>16000</v>
      </c>
    </row>
    <row r="10" spans="1:4" ht="12.75">
      <c r="A10" s="193" t="s">
        <v>876</v>
      </c>
      <c r="B10" s="194"/>
      <c r="C10" s="196"/>
      <c r="D10" s="197">
        <v>15000</v>
      </c>
    </row>
    <row r="11" spans="1:4" ht="12.75">
      <c r="A11" s="198" t="s">
        <v>877</v>
      </c>
      <c r="B11" s="199"/>
      <c r="C11" s="200">
        <f>SUM(C4:C10)</f>
        <v>989000</v>
      </c>
      <c r="D11" s="201">
        <f>SUM(D4:D10)</f>
        <v>1021000</v>
      </c>
    </row>
    <row r="12" spans="1:4" ht="13.5" thickBot="1">
      <c r="A12" s="202" t="s">
        <v>878</v>
      </c>
      <c r="B12" s="203">
        <f>B3+C11-D11</f>
        <v>128000</v>
      </c>
      <c r="C12" s="204"/>
      <c r="D12" s="205"/>
    </row>
  </sheetData>
  <sheetProtection password="CC4F" sheet="1" objects="1" scenarios="1"/>
  <printOptions/>
  <pageMargins left="0.787401575" right="0.787401575" top="0.984251969" bottom="0.984251969" header="0.4921259845" footer="0.4921259845"/>
  <pageSetup horizontalDpi="200" verticalDpi="200" orientation="portrait" paperSize="9" r:id="rId1"/>
  <headerFooter alignWithMargins="0">
    <oddHeader>&amp;L&amp;"Arial,tučné kurzíva"&amp;12Rozpočet Sociálního fondu zaměstnanců na rok 2014&amp;R&amp;"Arial,tučné kurzíva"ZMČ 18.12.2013 příl.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25.8515625" style="164" customWidth="1"/>
    <col min="2" max="2" width="20.421875" style="165" customWidth="1"/>
    <col min="3" max="3" width="29.7109375" style="166" customWidth="1"/>
    <col min="4" max="4" width="20.421875" style="165" customWidth="1"/>
  </cols>
  <sheetData>
    <row r="1" ht="12.75">
      <c r="D1" s="167"/>
    </row>
    <row r="2" ht="13.5" thickBot="1"/>
    <row r="3" spans="1:4" s="171" customFormat="1" ht="15">
      <c r="A3" s="168"/>
      <c r="B3" s="169" t="s">
        <v>816</v>
      </c>
      <c r="C3" s="170"/>
      <c r="D3" s="169" t="s">
        <v>817</v>
      </c>
    </row>
    <row r="4" spans="1:4" ht="12.75">
      <c r="A4" s="172" t="s">
        <v>818</v>
      </c>
      <c r="B4" s="173">
        <v>12500000</v>
      </c>
      <c r="C4" s="174"/>
      <c r="D4" s="173"/>
    </row>
    <row r="5" spans="1:4" ht="35.25">
      <c r="A5" s="175" t="s">
        <v>819</v>
      </c>
      <c r="B5" s="173"/>
      <c r="C5" s="174" t="s">
        <v>820</v>
      </c>
      <c r="D5" s="173">
        <v>115000</v>
      </c>
    </row>
    <row r="6" spans="1:4" ht="12.75">
      <c r="A6" s="172"/>
      <c r="B6" s="173"/>
      <c r="C6" s="174" t="s">
        <v>821</v>
      </c>
      <c r="D6" s="173">
        <v>700000</v>
      </c>
    </row>
    <row r="7" spans="1:4" ht="24">
      <c r="A7" s="172"/>
      <c r="B7" s="176"/>
      <c r="C7" s="174" t="s">
        <v>822</v>
      </c>
      <c r="D7" s="173">
        <f>6585000*0+2900000+2200000</f>
        <v>5100000</v>
      </c>
    </row>
    <row r="8" spans="1:4" ht="24">
      <c r="A8" s="172" t="s">
        <v>823</v>
      </c>
      <c r="B8" s="173">
        <v>500000</v>
      </c>
      <c r="C8" s="174" t="s">
        <v>824</v>
      </c>
      <c r="D8" s="173">
        <f>600000*0+(11*100000+12*38200*(1+0.09+0.25))*35%+10.4</f>
        <v>600000</v>
      </c>
    </row>
    <row r="9" spans="1:4" ht="25.5">
      <c r="A9" s="172" t="s">
        <v>825</v>
      </c>
      <c r="B9" s="173">
        <v>1050000</v>
      </c>
      <c r="C9" s="174" t="s">
        <v>826</v>
      </c>
      <c r="D9" s="173">
        <v>1200000</v>
      </c>
    </row>
    <row r="10" spans="1:4" ht="12.75">
      <c r="A10" s="172" t="s">
        <v>827</v>
      </c>
      <c r="B10" s="173">
        <v>8000</v>
      </c>
      <c r="C10" s="174" t="s">
        <v>828</v>
      </c>
      <c r="D10" s="173"/>
    </row>
    <row r="11" spans="1:4" ht="12.75">
      <c r="A11" s="172" t="s">
        <v>829</v>
      </c>
      <c r="B11" s="173">
        <v>5000</v>
      </c>
      <c r="C11" s="174" t="s">
        <v>829</v>
      </c>
      <c r="D11" s="173">
        <v>0</v>
      </c>
    </row>
    <row r="12" spans="1:4" ht="12.75">
      <c r="A12" s="172" t="s">
        <v>830</v>
      </c>
      <c r="B12" s="173">
        <v>5000</v>
      </c>
      <c r="C12" s="174"/>
      <c r="D12" s="173"/>
    </row>
    <row r="13" spans="1:4" ht="12.75">
      <c r="A13" s="172" t="s">
        <v>831</v>
      </c>
      <c r="B13" s="173">
        <f>90000*12/10</f>
        <v>108000</v>
      </c>
      <c r="C13" s="174"/>
      <c r="D13" s="173"/>
    </row>
    <row r="14" spans="1:4" ht="12.75">
      <c r="A14" s="172" t="s">
        <v>832</v>
      </c>
      <c r="B14" s="173">
        <f>350000*0+168000*12/10+400</f>
        <v>202000</v>
      </c>
      <c r="C14" s="174"/>
      <c r="D14" s="173"/>
    </row>
    <row r="15" spans="1:4" ht="12.75">
      <c r="A15" s="172" t="s">
        <v>833</v>
      </c>
      <c r="B15" s="173"/>
      <c r="C15" s="174"/>
      <c r="D15" s="173"/>
    </row>
    <row r="16" spans="1:4" ht="12.75">
      <c r="A16" s="172" t="s">
        <v>834</v>
      </c>
      <c r="B16" s="173"/>
      <c r="C16" s="174"/>
      <c r="D16" s="173"/>
    </row>
    <row r="17" spans="1:4" ht="12.75">
      <c r="A17" s="172" t="s">
        <v>835</v>
      </c>
      <c r="B17" s="173">
        <v>2600000</v>
      </c>
      <c r="C17" s="174"/>
      <c r="D17" s="173"/>
    </row>
    <row r="18" spans="1:4" ht="25.5">
      <c r="A18" s="175" t="s">
        <v>836</v>
      </c>
      <c r="B18" s="173">
        <v>2000000</v>
      </c>
      <c r="C18" s="174" t="s">
        <v>837</v>
      </c>
      <c r="D18" s="173">
        <v>100</v>
      </c>
    </row>
    <row r="19" spans="1:4" ht="12.75">
      <c r="A19" s="172" t="s">
        <v>399</v>
      </c>
      <c r="B19" s="173">
        <f>1450000*12-400000-B20-B21</f>
        <v>0</v>
      </c>
      <c r="C19" s="174"/>
      <c r="D19" s="173" t="s">
        <v>838</v>
      </c>
    </row>
    <row r="20" spans="1:4" ht="12.75">
      <c r="A20" s="172" t="s">
        <v>839</v>
      </c>
      <c r="B20" s="173">
        <v>14200000</v>
      </c>
      <c r="C20" s="174" t="s">
        <v>838</v>
      </c>
      <c r="D20" s="173" t="s">
        <v>838</v>
      </c>
    </row>
    <row r="21" spans="1:4" ht="12.75">
      <c r="A21" s="172" t="s">
        <v>840</v>
      </c>
      <c r="B21" s="173">
        <v>2800000</v>
      </c>
      <c r="C21" s="174" t="s">
        <v>838</v>
      </c>
      <c r="D21" s="173" t="s">
        <v>838</v>
      </c>
    </row>
    <row r="22" spans="1:4" ht="12.75">
      <c r="A22" s="172" t="s">
        <v>841</v>
      </c>
      <c r="B22" s="173">
        <v>500000</v>
      </c>
      <c r="C22" s="174" t="s">
        <v>841</v>
      </c>
      <c r="D22" s="173">
        <v>20000</v>
      </c>
    </row>
    <row r="23" spans="1:4" ht="12.75">
      <c r="A23" s="172" t="s">
        <v>842</v>
      </c>
      <c r="B23" s="173">
        <v>150000</v>
      </c>
      <c r="C23" s="174" t="s">
        <v>843</v>
      </c>
      <c r="D23" s="173">
        <v>130000</v>
      </c>
    </row>
    <row r="24" spans="1:4" ht="12.75">
      <c r="A24" s="172"/>
      <c r="B24" s="173"/>
      <c r="C24" s="174" t="s">
        <v>844</v>
      </c>
      <c r="D24" s="173">
        <v>5000</v>
      </c>
    </row>
    <row r="25" spans="1:4" ht="12.75">
      <c r="A25" s="172"/>
      <c r="B25" s="173"/>
      <c r="C25" s="174" t="s">
        <v>845</v>
      </c>
      <c r="D25" s="173">
        <v>5000</v>
      </c>
    </row>
    <row r="26" spans="1:4" ht="12.75">
      <c r="A26" s="172" t="s">
        <v>846</v>
      </c>
      <c r="B26" s="173">
        <v>100000</v>
      </c>
      <c r="C26" s="174" t="s">
        <v>846</v>
      </c>
      <c r="D26" s="173">
        <v>40000</v>
      </c>
    </row>
    <row r="27" spans="1:4" ht="25.5">
      <c r="A27" s="175" t="s">
        <v>847</v>
      </c>
      <c r="B27" s="173">
        <v>15000</v>
      </c>
      <c r="C27" s="174" t="s">
        <v>848</v>
      </c>
      <c r="D27" s="173">
        <v>50000</v>
      </c>
    </row>
    <row r="28" spans="1:4" ht="12.75">
      <c r="A28" s="172" t="s">
        <v>849</v>
      </c>
      <c r="B28" s="173">
        <v>100000</v>
      </c>
      <c r="C28" s="174" t="s">
        <v>849</v>
      </c>
      <c r="D28" s="173">
        <v>45000</v>
      </c>
    </row>
    <row r="29" spans="1:4" ht="12.75">
      <c r="A29" s="172" t="s">
        <v>850</v>
      </c>
      <c r="B29" s="173">
        <v>60000</v>
      </c>
      <c r="C29" s="174" t="s">
        <v>850</v>
      </c>
      <c r="D29" s="173">
        <v>15000</v>
      </c>
    </row>
    <row r="30" spans="1:4" ht="12.75">
      <c r="A30" s="172" t="s">
        <v>851</v>
      </c>
      <c r="B30" s="173">
        <v>8000</v>
      </c>
      <c r="C30" s="174" t="s">
        <v>851</v>
      </c>
      <c r="D30" s="173">
        <v>0</v>
      </c>
    </row>
    <row r="31" spans="1:4" ht="12.75">
      <c r="A31" s="172" t="s">
        <v>852</v>
      </c>
      <c r="B31" s="173">
        <v>0</v>
      </c>
      <c r="C31" s="174"/>
      <c r="D31" s="173"/>
    </row>
    <row r="32" spans="1:4" ht="12.75">
      <c r="A32" s="172" t="s">
        <v>853</v>
      </c>
      <c r="B32" s="173">
        <v>50000</v>
      </c>
      <c r="C32" s="174" t="s">
        <v>854</v>
      </c>
      <c r="D32" s="173">
        <v>10000</v>
      </c>
    </row>
    <row r="33" spans="1:4" ht="24">
      <c r="A33" s="172" t="s">
        <v>855</v>
      </c>
      <c r="B33" s="173">
        <v>50000</v>
      </c>
      <c r="C33" s="174" t="s">
        <v>856</v>
      </c>
      <c r="D33" s="173">
        <v>1230000</v>
      </c>
    </row>
    <row r="34" spans="1:4" ht="12.75">
      <c r="A34" s="172" t="s">
        <v>857</v>
      </c>
      <c r="B34" s="173">
        <v>80000</v>
      </c>
      <c r="C34" s="174"/>
      <c r="D34" s="173"/>
    </row>
    <row r="35" spans="1:4" ht="12.75">
      <c r="A35" s="172" t="s">
        <v>858</v>
      </c>
      <c r="B35" s="173">
        <v>35000</v>
      </c>
      <c r="C35" s="174" t="s">
        <v>859</v>
      </c>
      <c r="D35" s="173">
        <v>30000</v>
      </c>
    </row>
    <row r="36" spans="1:4" ht="12.75">
      <c r="A36" s="172" t="s">
        <v>860</v>
      </c>
      <c r="B36" s="177"/>
      <c r="C36" s="174"/>
      <c r="D36" s="173"/>
    </row>
    <row r="37" spans="1:4" ht="25.5">
      <c r="A37" s="172"/>
      <c r="B37" s="173"/>
      <c r="C37" s="174" t="s">
        <v>861</v>
      </c>
      <c r="D37" s="173">
        <v>19000000</v>
      </c>
    </row>
    <row r="38" spans="1:4" ht="12.75">
      <c r="A38" s="172"/>
      <c r="B38" s="173"/>
      <c r="C38" s="174"/>
      <c r="D38" s="173"/>
    </row>
    <row r="39" spans="1:4" ht="12.75">
      <c r="A39" s="172"/>
      <c r="B39" s="173"/>
      <c r="C39" s="174"/>
      <c r="D39" s="173"/>
    </row>
    <row r="40" spans="1:4" s="171" customFormat="1" ht="15">
      <c r="A40" s="178" t="s">
        <v>862</v>
      </c>
      <c r="B40" s="179">
        <f>SUM(B4:B38)</f>
        <v>37126000</v>
      </c>
      <c r="C40" s="180" t="s">
        <v>862</v>
      </c>
      <c r="D40" s="181">
        <f>SUM(D5:D37)</f>
        <v>28295100</v>
      </c>
    </row>
    <row r="41" spans="1:4" ht="13.5" thickBot="1">
      <c r="A41" s="182"/>
      <c r="B41" s="183"/>
      <c r="C41" s="184"/>
      <c r="D41" s="183"/>
    </row>
    <row r="42" spans="1:4" ht="12.75">
      <c r="A42" s="185"/>
      <c r="B42" s="186"/>
      <c r="D42" s="186"/>
    </row>
    <row r="43" spans="1:4" ht="12.75">
      <c r="A43" s="185"/>
      <c r="B43" s="186"/>
      <c r="D43" s="186"/>
    </row>
    <row r="44" spans="1:4" ht="12.75">
      <c r="A44" s="185"/>
      <c r="B44" s="186"/>
      <c r="D44" s="186"/>
    </row>
    <row r="45" spans="1:4" ht="12.75">
      <c r="A45" s="185" t="s">
        <v>863</v>
      </c>
      <c r="B45" s="185" t="s">
        <v>864</v>
      </c>
      <c r="D45" s="186"/>
    </row>
    <row r="46" spans="1:4" ht="12.75">
      <c r="A46" s="187" t="s">
        <v>865</v>
      </c>
      <c r="B46" s="187" t="s">
        <v>866</v>
      </c>
      <c r="D46" s="186"/>
    </row>
    <row r="47" spans="1:4" ht="12.75">
      <c r="A47" s="188">
        <v>41612</v>
      </c>
      <c r="B47" s="188">
        <v>41612</v>
      </c>
      <c r="D47" s="186"/>
    </row>
    <row r="48" spans="2:4" ht="12.75">
      <c r="B48" s="186"/>
      <c r="D48" s="186"/>
    </row>
    <row r="49" spans="2:4" ht="12.75">
      <c r="B49" s="186"/>
      <c r="D49" s="186"/>
    </row>
    <row r="50" spans="2:4" ht="12.75">
      <c r="B50" s="186"/>
      <c r="D50" s="186"/>
    </row>
    <row r="51" spans="2:4" ht="12.75">
      <c r="B51" s="186"/>
      <c r="D51" s="186"/>
    </row>
    <row r="52" spans="2:4" ht="12.75">
      <c r="B52" s="186"/>
      <c r="D52" s="186"/>
    </row>
    <row r="53" spans="1:4" ht="12.75">
      <c r="A53" s="185"/>
      <c r="B53" s="186"/>
      <c r="D53" s="186"/>
    </row>
    <row r="54" spans="1:4" ht="12.75">
      <c r="A54" s="185"/>
      <c r="B54" s="186"/>
      <c r="D54" s="186"/>
    </row>
    <row r="55" spans="1:4" ht="12.75">
      <c r="A55" s="185"/>
      <c r="B55" s="186"/>
      <c r="D55" s="186"/>
    </row>
    <row r="56" spans="1:4" ht="12.75">
      <c r="A56" s="185"/>
      <c r="B56" s="186"/>
      <c r="D56" s="186"/>
    </row>
    <row r="57" spans="1:4" ht="12.75">
      <c r="A57" s="185"/>
      <c r="B57" s="186"/>
      <c r="D57" s="186"/>
    </row>
    <row r="58" spans="1:4" ht="12.75">
      <c r="A58" s="185"/>
      <c r="B58" s="186"/>
      <c r="D58" s="186"/>
    </row>
    <row r="59" spans="1:4" ht="12.75">
      <c r="A59" s="185"/>
      <c r="B59" s="186"/>
      <c r="D59" s="186"/>
    </row>
    <row r="60" spans="1:4" ht="12.75">
      <c r="A60" s="185"/>
      <c r="B60" s="186"/>
      <c r="D60" s="186"/>
    </row>
  </sheetData>
  <sheetProtection password="CC4F" sheet="1" objects="1" scenarios="1"/>
  <printOptions/>
  <pageMargins left="0.7874015748031497" right="0.1968503937007874" top="0.3937007874015748" bottom="0.5905511811023623" header="0.31496062992125984" footer="0.31496062992125984"/>
  <pageSetup fitToHeight="0" horizontalDpi="600" verticalDpi="600" orientation="portrait" paperSize="9" scale="85" r:id="rId1"/>
  <headerFooter alignWithMargins="0">
    <oddHeader>&amp;L&amp;"Arial,tučné kurzíva"&amp;12Plán hospodářské činnosti na rok 2014&amp;R&amp;"Arial,tučné kurzíva"&amp;9ZMČ 18.12.2013 příl  4/</oddHeader>
    <oddFooter>&amp;L&amp;7&amp;F&amp;R&amp;7&amp;P</oddFooter>
  </headerFooter>
  <rowBreaks count="1" manualBreakCount="1"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tislovamar</dc:creator>
  <cp:keywords/>
  <dc:description/>
  <cp:lastModifiedBy>Hejrová Jana, DiS.</cp:lastModifiedBy>
  <cp:lastPrinted>2014-01-09T21:42:59Z</cp:lastPrinted>
  <dcterms:created xsi:type="dcterms:W3CDTF">2013-11-28T12:30:21Z</dcterms:created>
  <dcterms:modified xsi:type="dcterms:W3CDTF">2016-01-30T16:54:04Z</dcterms:modified>
  <cp:category/>
  <cp:version/>
  <cp:contentType/>
  <cp:contentStatus/>
</cp:coreProperties>
</file>