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7550" windowHeight="8910" activeTab="0"/>
  </bookViews>
  <sheets>
    <sheet name="ZMČ 23 03 11 do r. 2016" sheetId="1" r:id="rId1"/>
  </sheets>
  <definedNames>
    <definedName name="_xlnm.Print_Titles" localSheetId="0">'ZMČ 23 03 11 do r. 2016'!$A:$A</definedName>
  </definedNames>
  <calcPr fullCalcOnLoad="1"/>
</workbook>
</file>

<file path=xl/sharedStrings.xml><?xml version="1.0" encoding="utf-8"?>
<sst xmlns="http://schemas.openxmlformats.org/spreadsheetml/2006/main" count="120" uniqueCount="45">
  <si>
    <t>v tis. Kč</t>
  </si>
  <si>
    <t>Název položky</t>
  </si>
  <si>
    <t>Skut.2004</t>
  </si>
  <si>
    <t>RV 2011</t>
  </si>
  <si>
    <t>Daňové příjmy (po konsolidaci) - třída 1</t>
  </si>
  <si>
    <t>Nedaňové příjmy (po konsolidaci) třída 2</t>
  </si>
  <si>
    <t>Kapitálové příjmy (po konsolidaci) - třída 3</t>
  </si>
  <si>
    <t xml:space="preserve">Vlastní příjmy  </t>
  </si>
  <si>
    <t>Přijaté dotace (po konsolidaci) -třída 4</t>
  </si>
  <si>
    <t xml:space="preserve">Příjmy celkem </t>
  </si>
  <si>
    <t>Provozní výdaje - třída 5</t>
  </si>
  <si>
    <t>Kapitálové výdaje - třída 6</t>
  </si>
  <si>
    <t xml:space="preserve">Výdaje celkem </t>
  </si>
  <si>
    <t>Úhrada dlouhodobých fin. závazků</t>
  </si>
  <si>
    <t xml:space="preserve">Vytvořená rezerva na dluhovou službu celkem  </t>
  </si>
  <si>
    <t>Financování (FV 2004)</t>
  </si>
  <si>
    <r>
      <t xml:space="preserve">Výsledek hospodaření            </t>
    </r>
    <r>
      <rPr>
        <b/>
        <sz val="8"/>
        <rFont val="Arial CE"/>
        <family val="2"/>
      </rPr>
      <t>(- schodek, + přebytek)</t>
    </r>
  </si>
  <si>
    <r>
      <t xml:space="preserve">Tvorba rezerv dluhové služby - </t>
    </r>
    <r>
      <rPr>
        <sz val="8"/>
        <rFont val="Arial CE"/>
        <family val="2"/>
      </rPr>
      <t xml:space="preserve">třída 8-financování </t>
    </r>
  </si>
  <si>
    <t>RV 2012</t>
  </si>
  <si>
    <t>RV 2013</t>
  </si>
  <si>
    <t>RV 2014</t>
  </si>
  <si>
    <t xml:space="preserve"> </t>
  </si>
  <si>
    <t>UR 2009</t>
  </si>
  <si>
    <r>
      <t>Skut</t>
    </r>
    <r>
      <rPr>
        <b/>
        <sz val="9"/>
        <rFont val="Arial CE"/>
        <family val="2"/>
      </rPr>
      <t xml:space="preserve"> 2005</t>
    </r>
  </si>
  <si>
    <r>
      <t>Skut</t>
    </r>
    <r>
      <rPr>
        <b/>
        <sz val="9"/>
        <rFont val="Arial CE"/>
        <family val="2"/>
      </rPr>
      <t xml:space="preserve"> 2006</t>
    </r>
  </si>
  <si>
    <r>
      <t>Skut</t>
    </r>
    <r>
      <rPr>
        <b/>
        <sz val="9"/>
        <rFont val="Arial CE"/>
        <family val="2"/>
      </rPr>
      <t xml:space="preserve"> 2007</t>
    </r>
  </si>
  <si>
    <r>
      <t>Skut</t>
    </r>
    <r>
      <rPr>
        <b/>
        <sz val="9"/>
        <rFont val="Arial CE"/>
        <family val="2"/>
      </rPr>
      <t xml:space="preserve"> 2008</t>
    </r>
  </si>
  <si>
    <r>
      <t xml:space="preserve">Návrh rozpočtového výhledu MČ Prahy 16 do r. </t>
    </r>
    <r>
      <rPr>
        <b/>
        <sz val="12"/>
        <color indexed="12"/>
        <rFont val="Arial CE"/>
        <family val="0"/>
      </rPr>
      <t>2014</t>
    </r>
  </si>
  <si>
    <t>Příloha č. 1 k usnesení ZMČ P 16 ze dne 17.6.2009</t>
  </si>
  <si>
    <r>
      <t>RV 2009</t>
    </r>
    <r>
      <rPr>
        <b/>
        <sz val="7"/>
        <color indexed="12"/>
        <rFont val="Arial CE"/>
        <family val="0"/>
      </rPr>
      <t xml:space="preserve">            dle skut 2008</t>
    </r>
  </si>
  <si>
    <r>
      <t>RV 2010</t>
    </r>
    <r>
      <rPr>
        <b/>
        <sz val="9"/>
        <color indexed="12"/>
        <rFont val="Arial CE"/>
        <family val="0"/>
      </rPr>
      <t xml:space="preserve"> </t>
    </r>
    <r>
      <rPr>
        <b/>
        <sz val="7"/>
        <color indexed="12"/>
        <rFont val="Arial CE"/>
        <family val="0"/>
      </rPr>
      <t xml:space="preserve">                   dle RV 2009</t>
    </r>
  </si>
  <si>
    <r>
      <t xml:space="preserve">RV 2010 </t>
    </r>
    <r>
      <rPr>
        <b/>
        <sz val="7"/>
        <color indexed="12"/>
        <rFont val="Arial CE"/>
        <family val="0"/>
      </rPr>
      <t xml:space="preserve">                   dle UR 2009</t>
    </r>
  </si>
  <si>
    <t>RV 2015</t>
  </si>
  <si>
    <t>RV 2016</t>
  </si>
  <si>
    <t>Skut 2009</t>
  </si>
  <si>
    <t>Schv R 2011</t>
  </si>
  <si>
    <t>Skut 2010</t>
  </si>
  <si>
    <r>
      <t xml:space="preserve">RV 2011 </t>
    </r>
    <r>
      <rPr>
        <b/>
        <sz val="7"/>
        <color indexed="61"/>
        <rFont val="Arial CE"/>
        <family val="0"/>
      </rPr>
      <t xml:space="preserve">                   </t>
    </r>
    <r>
      <rPr>
        <b/>
        <sz val="8"/>
        <color indexed="61"/>
        <rFont val="Arial CE"/>
        <family val="0"/>
      </rPr>
      <t>dle skut 2010</t>
    </r>
  </si>
  <si>
    <r>
      <t xml:space="preserve">Návrh rozpočtového výhledu MČ Prahy 16 do r. </t>
    </r>
    <r>
      <rPr>
        <b/>
        <sz val="12"/>
        <color indexed="61"/>
        <rFont val="Arial CE"/>
        <family val="0"/>
      </rPr>
      <t>2016</t>
    </r>
  </si>
  <si>
    <t>stát:</t>
  </si>
  <si>
    <t>HMP:</t>
  </si>
  <si>
    <t>EČ P16:</t>
  </si>
  <si>
    <t xml:space="preserve">  rozpis dotací: </t>
  </si>
  <si>
    <r>
      <t xml:space="preserve">Návrh rozpočtového výhledu MČ Prahy 16 do r. </t>
    </r>
    <r>
      <rPr>
        <b/>
        <sz val="11"/>
        <color indexed="61"/>
        <rFont val="Arial CE"/>
        <family val="2"/>
      </rPr>
      <t>2016</t>
    </r>
  </si>
  <si>
    <r>
      <t xml:space="preserve">RV 2011 </t>
    </r>
    <r>
      <rPr>
        <b/>
        <sz val="7"/>
        <rFont val="Arial CE"/>
        <family val="2"/>
      </rPr>
      <t xml:space="preserve">                   </t>
    </r>
    <r>
      <rPr>
        <b/>
        <sz val="8"/>
        <rFont val="Arial CE"/>
        <family val="2"/>
      </rPr>
      <t>dle skut 2010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</si>
</sst>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00"/>
    <numFmt numFmtId="166" formatCode="0.00000000"/>
    <numFmt numFmtId="167" formatCode="#,##0.0"/>
    <numFmt numFmtId="168" formatCode="#,##0.000"/>
  </numFmts>
  <fonts count="38">
    <font>
      <sz val="10"/>
      <name val="Arial CE"/>
      <family val="0"/>
    </font>
    <font>
      <i/>
      <u val="single"/>
      <sz val="10"/>
      <name val="Times New Roman CE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10"/>
      <color indexed="17"/>
      <name val="Arial CE"/>
      <family val="2"/>
    </font>
    <font>
      <b/>
      <sz val="9"/>
      <color indexed="1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sz val="9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0"/>
      <color indexed="12"/>
      <name val="Arial CE"/>
      <family val="2"/>
    </font>
    <font>
      <i/>
      <u val="single"/>
      <sz val="9"/>
      <name val="Arial CE"/>
      <family val="2"/>
    </font>
    <font>
      <sz val="10"/>
      <color indexed="17"/>
      <name val="Arial CE"/>
      <family val="2"/>
    </font>
    <font>
      <i/>
      <sz val="10"/>
      <color indexed="17"/>
      <name val="Arial CE"/>
      <family val="2"/>
    </font>
    <font>
      <b/>
      <sz val="12"/>
      <color indexed="12"/>
      <name val="Arial CE"/>
      <family val="0"/>
    </font>
    <font>
      <i/>
      <u val="single"/>
      <sz val="9"/>
      <color indexed="12"/>
      <name val="Arial CE"/>
      <family val="2"/>
    </font>
    <font>
      <b/>
      <sz val="7"/>
      <color indexed="12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color indexed="61"/>
      <name val="Arial CE"/>
      <family val="0"/>
    </font>
    <font>
      <b/>
      <sz val="9"/>
      <color indexed="61"/>
      <name val="Arial CE"/>
      <family val="2"/>
    </font>
    <font>
      <b/>
      <sz val="10"/>
      <color indexed="61"/>
      <name val="Arial CE"/>
      <family val="2"/>
    </font>
    <font>
      <sz val="10"/>
      <color indexed="61"/>
      <name val="Arial CE"/>
      <family val="2"/>
    </font>
    <font>
      <i/>
      <sz val="10"/>
      <color indexed="61"/>
      <name val="Arial CE"/>
      <family val="2"/>
    </font>
    <font>
      <b/>
      <sz val="7"/>
      <color indexed="61"/>
      <name val="Arial CE"/>
      <family val="0"/>
    </font>
    <font>
      <b/>
      <sz val="10"/>
      <color indexed="10"/>
      <name val="Arial CE"/>
      <family val="2"/>
    </font>
    <font>
      <b/>
      <sz val="8"/>
      <color indexed="61"/>
      <name val="Arial CE"/>
      <family val="0"/>
    </font>
    <font>
      <i/>
      <sz val="9"/>
      <color indexed="10"/>
      <name val="Arial CE"/>
      <family val="2"/>
    </font>
    <font>
      <b/>
      <sz val="9"/>
      <color indexed="10"/>
      <name val="Arial CE"/>
      <family val="2"/>
    </font>
    <font>
      <i/>
      <u val="single"/>
      <sz val="9"/>
      <color indexed="20"/>
      <name val="Arial CE"/>
      <family val="2"/>
    </font>
    <font>
      <b/>
      <sz val="11"/>
      <name val="Arial CE"/>
      <family val="2"/>
    </font>
    <font>
      <b/>
      <sz val="11"/>
      <color indexed="61"/>
      <name val="Arial CE"/>
      <family val="2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0" fillId="0" borderId="0" xfId="0" applyNumberFormat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7" fillId="0" borderId="5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3" fillId="0" borderId="4" xfId="0" applyNumberFormat="1" applyFont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3" fontId="14" fillId="0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14" fillId="0" borderId="18" xfId="0" applyNumberFormat="1" applyFont="1" applyFill="1" applyBorder="1" applyAlignment="1">
      <alignment/>
    </xf>
    <xf numFmtId="3" fontId="14" fillId="0" borderId="3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13" fillId="0" borderId="4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/>
    </xf>
    <xf numFmtId="3" fontId="14" fillId="0" borderId="7" xfId="0" applyNumberFormat="1" applyFont="1" applyFill="1" applyBorder="1" applyAlignment="1">
      <alignment/>
    </xf>
    <xf numFmtId="3" fontId="14" fillId="0" borderId="7" xfId="0" applyNumberFormat="1" applyFont="1" applyFill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1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4" fillId="0" borderId="9" xfId="0" applyNumberFormat="1" applyFont="1" applyBorder="1" applyAlignment="1">
      <alignment horizontal="center" wrapText="1"/>
    </xf>
    <xf numFmtId="3" fontId="12" fillId="0" borderId="9" xfId="0" applyNumberFormat="1" applyFont="1" applyBorder="1" applyAlignment="1">
      <alignment horizontal="center" wrapText="1"/>
    </xf>
    <xf numFmtId="3" fontId="12" fillId="0" borderId="19" xfId="0" applyNumberFormat="1" applyFont="1" applyBorder="1" applyAlignment="1">
      <alignment horizontal="center" wrapText="1"/>
    </xf>
    <xf numFmtId="3" fontId="13" fillId="0" borderId="5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167" fontId="8" fillId="0" borderId="9" xfId="0" applyNumberFormat="1" applyFont="1" applyBorder="1" applyAlignment="1">
      <alignment horizontal="center" wrapText="1"/>
    </xf>
    <xf numFmtId="167" fontId="7" fillId="0" borderId="5" xfId="0" applyNumberFormat="1" applyFont="1" applyBorder="1" applyAlignment="1">
      <alignment horizontal="center"/>
    </xf>
    <xf numFmtId="167" fontId="17" fillId="0" borderId="18" xfId="0" applyNumberFormat="1" applyFont="1" applyFill="1" applyBorder="1" applyAlignment="1">
      <alignment/>
    </xf>
    <xf numFmtId="167" fontId="17" fillId="0" borderId="8" xfId="0" applyNumberFormat="1" applyFont="1" applyFill="1" applyBorder="1" applyAlignment="1">
      <alignment/>
    </xf>
    <xf numFmtId="167" fontId="7" fillId="0" borderId="4" xfId="0" applyNumberFormat="1" applyFont="1" applyBorder="1" applyAlignment="1">
      <alignment/>
    </xf>
    <xf numFmtId="167" fontId="7" fillId="0" borderId="5" xfId="0" applyNumberFormat="1" applyFont="1" applyBorder="1" applyAlignment="1">
      <alignment/>
    </xf>
    <xf numFmtId="167" fontId="18" fillId="0" borderId="0" xfId="0" applyNumberFormat="1" applyFont="1" applyFill="1" applyBorder="1" applyAlignment="1">
      <alignment/>
    </xf>
    <xf numFmtId="167" fontId="7" fillId="0" borderId="21" xfId="0" applyNumberFormat="1" applyFont="1" applyFill="1" applyBorder="1" applyAlignment="1">
      <alignment/>
    </xf>
    <xf numFmtId="167" fontId="17" fillId="0" borderId="6" xfId="0" applyNumberFormat="1" applyFont="1" applyFill="1" applyBorder="1" applyAlignment="1">
      <alignment/>
    </xf>
    <xf numFmtId="167" fontId="7" fillId="0" borderId="8" xfId="0" applyNumberFormat="1" applyFont="1" applyBorder="1" applyAlignment="1">
      <alignment/>
    </xf>
    <xf numFmtId="167" fontId="7" fillId="0" borderId="9" xfId="0" applyNumberFormat="1" applyFont="1" applyFill="1" applyBorder="1" applyAlignment="1">
      <alignment/>
    </xf>
    <xf numFmtId="167" fontId="17" fillId="0" borderId="7" xfId="0" applyNumberFormat="1" applyFont="1" applyBorder="1" applyAlignment="1">
      <alignment/>
    </xf>
    <xf numFmtId="167" fontId="17" fillId="0" borderId="7" xfId="0" applyNumberFormat="1" applyFont="1" applyFill="1" applyBorder="1" applyAlignment="1">
      <alignment/>
    </xf>
    <xf numFmtId="167" fontId="7" fillId="0" borderId="8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 horizontal="center" wrapText="1"/>
    </xf>
    <xf numFmtId="3" fontId="20" fillId="0" borderId="0" xfId="0" applyNumberFormat="1" applyFont="1" applyAlignment="1">
      <alignment horizontal="right"/>
    </xf>
    <xf numFmtId="0" fontId="14" fillId="0" borderId="7" xfId="0" applyNumberFormat="1" applyFont="1" applyFill="1" applyBorder="1" applyAlignment="1">
      <alignment/>
    </xf>
    <xf numFmtId="0" fontId="13" fillId="0" borderId="5" xfId="0" applyNumberFormat="1" applyFont="1" applyBorder="1" applyAlignment="1">
      <alignment/>
    </xf>
    <xf numFmtId="0" fontId="13" fillId="0" borderId="8" xfId="0" applyNumberFormat="1" applyFont="1" applyBorder="1" applyAlignment="1">
      <alignment/>
    </xf>
    <xf numFmtId="0" fontId="13" fillId="0" borderId="9" xfId="0" applyNumberFormat="1" applyFont="1" applyFill="1" applyBorder="1" applyAlignment="1">
      <alignment/>
    </xf>
    <xf numFmtId="0" fontId="14" fillId="0" borderId="7" xfId="0" applyNumberFormat="1" applyFont="1" applyBorder="1" applyAlignment="1">
      <alignment/>
    </xf>
    <xf numFmtId="0" fontId="13" fillId="0" borderId="8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12" fillId="0" borderId="22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center" wrapText="1"/>
    </xf>
    <xf numFmtId="3" fontId="13" fillId="0" borderId="9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4" fillId="0" borderId="0" xfId="0" applyNumberFormat="1" applyFont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4" fillId="0" borderId="8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5" fillId="0" borderId="5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4" fillId="0" borderId="27" xfId="0" applyNumberFormat="1" applyFont="1" applyFill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3" fillId="0" borderId="8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3" fontId="12" fillId="0" borderId="22" xfId="0" applyNumberFormat="1" applyFont="1" applyBorder="1" applyAlignment="1">
      <alignment horizontal="center" wrapText="1"/>
    </xf>
    <xf numFmtId="0" fontId="14" fillId="0" borderId="28" xfId="0" applyNumberFormat="1" applyFont="1" applyFill="1" applyBorder="1" applyAlignment="1">
      <alignment/>
    </xf>
    <xf numFmtId="0" fontId="13" fillId="0" borderId="11" xfId="0" applyNumberFormat="1" applyFont="1" applyBorder="1" applyAlignment="1">
      <alignment/>
    </xf>
    <xf numFmtId="3" fontId="13" fillId="0" borderId="22" xfId="0" applyNumberFormat="1" applyFont="1" applyFill="1" applyBorder="1" applyAlignment="1">
      <alignment/>
    </xf>
    <xf numFmtId="0" fontId="14" fillId="0" borderId="28" xfId="0" applyNumberFormat="1" applyFont="1" applyBorder="1" applyAlignment="1">
      <alignment/>
    </xf>
    <xf numFmtId="0" fontId="13" fillId="0" borderId="11" xfId="0" applyNumberFormat="1" applyFont="1" applyFill="1" applyBorder="1" applyAlignment="1">
      <alignment/>
    </xf>
    <xf numFmtId="0" fontId="13" fillId="0" borderId="22" xfId="0" applyNumberFormat="1" applyFont="1" applyFill="1" applyBorder="1" applyAlignment="1">
      <alignment/>
    </xf>
    <xf numFmtId="3" fontId="25" fillId="0" borderId="9" xfId="0" applyNumberFormat="1" applyFont="1" applyBorder="1" applyAlignment="1">
      <alignment horizontal="center" wrapText="1"/>
    </xf>
    <xf numFmtId="3" fontId="26" fillId="0" borderId="5" xfId="0" applyNumberFormat="1" applyFont="1" applyBorder="1" applyAlignment="1">
      <alignment horizontal="center"/>
    </xf>
    <xf numFmtId="0" fontId="27" fillId="0" borderId="7" xfId="0" applyNumberFormat="1" applyFont="1" applyFill="1" applyBorder="1" applyAlignment="1">
      <alignment/>
    </xf>
    <xf numFmtId="0" fontId="27" fillId="0" borderId="8" xfId="0" applyNumberFormat="1" applyFont="1" applyFill="1" applyBorder="1" applyAlignment="1">
      <alignment/>
    </xf>
    <xf numFmtId="0" fontId="26" fillId="0" borderId="4" xfId="0" applyNumberFormat="1" applyFont="1" applyBorder="1" applyAlignment="1">
      <alignment/>
    </xf>
    <xf numFmtId="0" fontId="26" fillId="0" borderId="5" xfId="0" applyNumberFormat="1" applyFont="1" applyBorder="1" applyAlignment="1">
      <alignment/>
    </xf>
    <xf numFmtId="0" fontId="27" fillId="0" borderId="6" xfId="0" applyNumberFormat="1" applyFont="1" applyFill="1" applyBorder="1" applyAlignment="1">
      <alignment/>
    </xf>
    <xf numFmtId="0" fontId="26" fillId="0" borderId="8" xfId="0" applyNumberFormat="1" applyFont="1" applyBorder="1" applyAlignment="1">
      <alignment/>
    </xf>
    <xf numFmtId="3" fontId="26" fillId="0" borderId="9" xfId="0" applyNumberFormat="1" applyFont="1" applyFill="1" applyBorder="1" applyAlignment="1">
      <alignment/>
    </xf>
    <xf numFmtId="0" fontId="27" fillId="0" borderId="7" xfId="0" applyNumberFormat="1" applyFont="1" applyBorder="1" applyAlignment="1">
      <alignment/>
    </xf>
    <xf numFmtId="0" fontId="26" fillId="0" borderId="8" xfId="0" applyNumberFormat="1" applyFont="1" applyFill="1" applyBorder="1" applyAlignment="1">
      <alignment/>
    </xf>
    <xf numFmtId="0" fontId="26" fillId="0" borderId="9" xfId="0" applyNumberFormat="1" applyFont="1" applyFill="1" applyBorder="1" applyAlignment="1">
      <alignment/>
    </xf>
    <xf numFmtId="3" fontId="25" fillId="0" borderId="29" xfId="0" applyNumberFormat="1" applyFont="1" applyBorder="1" applyAlignment="1">
      <alignment horizontal="center" wrapText="1"/>
    </xf>
    <xf numFmtId="3" fontId="26" fillId="0" borderId="30" xfId="0" applyNumberFormat="1" applyFont="1" applyBorder="1" applyAlignment="1">
      <alignment horizontal="center"/>
    </xf>
    <xf numFmtId="0" fontId="27" fillId="0" borderId="31" xfId="0" applyNumberFormat="1" applyFont="1" applyFill="1" applyBorder="1" applyAlignment="1">
      <alignment/>
    </xf>
    <xf numFmtId="0" fontId="26" fillId="0" borderId="30" xfId="0" applyNumberFormat="1" applyFont="1" applyBorder="1" applyAlignment="1">
      <alignment/>
    </xf>
    <xf numFmtId="0" fontId="26" fillId="0" borderId="32" xfId="0" applyNumberFormat="1" applyFont="1" applyBorder="1" applyAlignment="1">
      <alignment/>
    </xf>
    <xf numFmtId="3" fontId="26" fillId="0" borderId="29" xfId="0" applyNumberFormat="1" applyFont="1" applyFill="1" applyBorder="1" applyAlignment="1">
      <alignment/>
    </xf>
    <xf numFmtId="0" fontId="27" fillId="0" borderId="31" xfId="0" applyNumberFormat="1" applyFont="1" applyBorder="1" applyAlignment="1">
      <alignment/>
    </xf>
    <xf numFmtId="0" fontId="26" fillId="0" borderId="32" xfId="0" applyNumberFormat="1" applyFont="1" applyFill="1" applyBorder="1" applyAlignment="1">
      <alignment/>
    </xf>
    <xf numFmtId="0" fontId="26" fillId="0" borderId="29" xfId="0" applyNumberFormat="1" applyFont="1" applyFill="1" applyBorder="1" applyAlignment="1">
      <alignment/>
    </xf>
    <xf numFmtId="0" fontId="25" fillId="0" borderId="22" xfId="0" applyNumberFormat="1" applyFont="1" applyBorder="1" applyAlignment="1">
      <alignment horizontal="center" wrapText="1"/>
    </xf>
    <xf numFmtId="0" fontId="25" fillId="0" borderId="22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/>
    </xf>
    <xf numFmtId="0" fontId="27" fillId="0" borderId="18" xfId="0" applyNumberFormat="1" applyFont="1" applyFill="1" applyBorder="1" applyAlignment="1">
      <alignment/>
    </xf>
    <xf numFmtId="3" fontId="30" fillId="0" borderId="8" xfId="0" applyNumberFormat="1" applyFont="1" applyBorder="1" applyAlignment="1">
      <alignment/>
    </xf>
    <xf numFmtId="3" fontId="30" fillId="0" borderId="5" xfId="0" applyNumberFormat="1" applyFont="1" applyBorder="1" applyAlignment="1">
      <alignment/>
    </xf>
    <xf numFmtId="3" fontId="27" fillId="0" borderId="7" xfId="0" applyNumberFormat="1" applyFont="1" applyFill="1" applyBorder="1" applyAlignment="1">
      <alignment/>
    </xf>
    <xf numFmtId="3" fontId="14" fillId="0" borderId="28" xfId="0" applyNumberFormat="1" applyFont="1" applyFill="1" applyBorder="1" applyAlignment="1">
      <alignment/>
    </xf>
    <xf numFmtId="3" fontId="27" fillId="0" borderId="31" xfId="0" applyNumberFormat="1" applyFont="1" applyFill="1" applyBorder="1" applyAlignment="1">
      <alignment/>
    </xf>
    <xf numFmtId="3" fontId="27" fillId="0" borderId="8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27" fillId="0" borderId="32" xfId="0" applyNumberFormat="1" applyFont="1" applyFill="1" applyBorder="1" applyAlignment="1">
      <alignment/>
    </xf>
    <xf numFmtId="3" fontId="26" fillId="0" borderId="4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26" fillId="0" borderId="34" xfId="0" applyNumberFormat="1" applyFont="1" applyBorder="1" applyAlignment="1">
      <alignment/>
    </xf>
    <xf numFmtId="3" fontId="28" fillId="0" borderId="5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28" fillId="0" borderId="30" xfId="0" applyNumberFormat="1" applyFont="1" applyFill="1" applyBorder="1" applyAlignment="1">
      <alignment/>
    </xf>
    <xf numFmtId="3" fontId="26" fillId="0" borderId="26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26" fillId="0" borderId="35" xfId="0" applyNumberFormat="1" applyFont="1" applyFill="1" applyBorder="1" applyAlignment="1">
      <alignment/>
    </xf>
    <xf numFmtId="3" fontId="27" fillId="0" borderId="6" xfId="0" applyNumberFormat="1" applyFont="1" applyFill="1" applyBorder="1" applyAlignment="1">
      <alignment/>
    </xf>
    <xf numFmtId="3" fontId="14" fillId="0" borderId="36" xfId="0" applyNumberFormat="1" applyFont="1" applyFill="1" applyBorder="1" applyAlignment="1">
      <alignment/>
    </xf>
    <xf numFmtId="3" fontId="27" fillId="0" borderId="37" xfId="0" applyNumberFormat="1" applyFont="1" applyFill="1" applyBorder="1" applyAlignment="1">
      <alignment/>
    </xf>
    <xf numFmtId="4" fontId="32" fillId="0" borderId="38" xfId="0" applyNumberFormat="1" applyFont="1" applyFill="1" applyBorder="1" applyAlignment="1">
      <alignment/>
    </xf>
    <xf numFmtId="4" fontId="33" fillId="0" borderId="21" xfId="0" applyNumberFormat="1" applyFont="1" applyBorder="1" applyAlignment="1">
      <alignment/>
    </xf>
    <xf numFmtId="4" fontId="4" fillId="0" borderId="21" xfId="0" applyNumberFormat="1" applyFont="1" applyFill="1" applyBorder="1" applyAlignment="1">
      <alignment/>
    </xf>
    <xf numFmtId="3" fontId="34" fillId="0" borderId="0" xfId="0" applyNumberFormat="1" applyFont="1" applyAlignment="1">
      <alignment horizontal="right"/>
    </xf>
    <xf numFmtId="3" fontId="4" fillId="0" borderId="9" xfId="0" applyNumberFormat="1" applyFont="1" applyBorder="1" applyAlignment="1">
      <alignment wrapText="1"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30" fillId="0" borderId="39" xfId="0" applyNumberFormat="1" applyFont="1" applyFill="1" applyBorder="1" applyAlignment="1">
      <alignment/>
    </xf>
    <xf numFmtId="3" fontId="30" fillId="0" borderId="34" xfId="0" applyNumberFormat="1" applyFont="1" applyFill="1" applyBorder="1" applyAlignment="1">
      <alignment/>
    </xf>
    <xf numFmtId="0" fontId="35" fillId="0" borderId="0" xfId="0" applyFont="1" applyAlignment="1">
      <alignment horizontal="left"/>
    </xf>
    <xf numFmtId="3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center" wrapText="1"/>
    </xf>
    <xf numFmtId="3" fontId="4" fillId="0" borderId="22" xfId="0" applyNumberFormat="1" applyFont="1" applyFill="1" applyBorder="1" applyAlignment="1">
      <alignment horizontal="center" wrapText="1"/>
    </xf>
    <xf numFmtId="3" fontId="4" fillId="0" borderId="29" xfId="0" applyNumberFormat="1" applyFont="1" applyFill="1" applyBorder="1" applyAlignment="1">
      <alignment horizontal="center" wrapText="1"/>
    </xf>
    <xf numFmtId="3" fontId="3" fillId="0" borderId="30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11" fillId="0" borderId="38" xfId="0" applyNumberFormat="1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3" fillId="0" borderId="8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="75" zoomScaleNormal="75" workbookViewId="0" topLeftCell="A1">
      <pane xSplit="1" ySplit="7" topLeftCell="H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97" sqref="T97"/>
    </sheetView>
  </sheetViews>
  <sheetFormatPr defaultColWidth="9.00390625" defaultRowHeight="12.75"/>
  <cols>
    <col min="1" max="1" width="20.75390625" style="0" customWidth="1"/>
    <col min="2" max="2" width="9.375" style="0" hidden="1" customWidth="1"/>
    <col min="3" max="6" width="8.75390625" style="6" hidden="1" customWidth="1"/>
    <col min="7" max="7" width="10.375" style="71" hidden="1" customWidth="1"/>
    <col min="8" max="8" width="8.75390625" style="6" customWidth="1"/>
    <col min="9" max="10" width="8.75390625" style="98" customWidth="1"/>
    <col min="11" max="16" width="7.625" style="6" customWidth="1"/>
    <col min="17" max="17" width="2.75390625" style="0" customWidth="1"/>
  </cols>
  <sheetData>
    <row r="1" spans="3:16" s="36" customFormat="1" ht="12.75" hidden="1">
      <c r="C1" s="41"/>
      <c r="D1" s="41"/>
      <c r="E1" s="41"/>
      <c r="F1" s="41"/>
      <c r="G1" s="70"/>
      <c r="H1" s="41"/>
      <c r="I1" s="96"/>
      <c r="J1" s="96"/>
      <c r="L1" s="60"/>
      <c r="M1" s="60"/>
      <c r="N1" s="89" t="s">
        <v>28</v>
      </c>
      <c r="O1" s="89"/>
      <c r="P1" s="89"/>
    </row>
    <row r="2" spans="9:16" ht="12.75" hidden="1">
      <c r="I2" s="97"/>
      <c r="J2" s="97"/>
      <c r="K2" s="61"/>
      <c r="L2" s="61"/>
      <c r="M2" s="61"/>
      <c r="N2" s="61"/>
      <c r="O2" s="61"/>
      <c r="P2" s="61"/>
    </row>
    <row r="3" ht="12.75" hidden="1"/>
    <row r="4" spans="1:7" ht="15.75" customHeight="1" hidden="1">
      <c r="A4" s="1" t="s">
        <v>27</v>
      </c>
      <c r="B4" s="2"/>
      <c r="C4" s="42"/>
      <c r="D4" s="42"/>
      <c r="E4" s="42"/>
      <c r="F4" s="42"/>
      <c r="G4" s="72"/>
    </row>
    <row r="5" spans="5:8" ht="12.75" hidden="1">
      <c r="E5" s="43"/>
      <c r="F5" s="43"/>
      <c r="G5" s="73"/>
      <c r="H5" s="43"/>
    </row>
    <row r="6" spans="11:16" ht="12.75" hidden="1">
      <c r="K6" s="43" t="s">
        <v>21</v>
      </c>
      <c r="L6" s="43" t="s">
        <v>21</v>
      </c>
      <c r="M6" s="43" t="s">
        <v>21</v>
      </c>
      <c r="N6" s="43" t="s">
        <v>0</v>
      </c>
      <c r="O6" s="43"/>
      <c r="P6" s="43"/>
    </row>
    <row r="7" spans="1:16" s="39" customFormat="1" ht="31.5" hidden="1" thickBot="1">
      <c r="A7" s="37" t="s">
        <v>1</v>
      </c>
      <c r="B7" s="38" t="s">
        <v>2</v>
      </c>
      <c r="C7" s="88" t="s">
        <v>23</v>
      </c>
      <c r="D7" s="88" t="s">
        <v>24</v>
      </c>
      <c r="E7" s="88" t="s">
        <v>25</v>
      </c>
      <c r="F7" s="88" t="s">
        <v>26</v>
      </c>
      <c r="G7" s="74" t="s">
        <v>22</v>
      </c>
      <c r="H7" s="62" t="s">
        <v>29</v>
      </c>
      <c r="I7" s="104" t="s">
        <v>30</v>
      </c>
      <c r="J7" s="99" t="s">
        <v>31</v>
      </c>
      <c r="K7" s="63" t="s">
        <v>3</v>
      </c>
      <c r="L7" s="63" t="s">
        <v>18</v>
      </c>
      <c r="M7" s="63" t="s">
        <v>19</v>
      </c>
      <c r="N7" s="64" t="s">
        <v>20</v>
      </c>
      <c r="O7" s="107"/>
      <c r="P7" s="107"/>
    </row>
    <row r="8" spans="1:16" ht="6.75" customHeight="1" hidden="1">
      <c r="A8" s="3"/>
      <c r="B8" s="4"/>
      <c r="C8" s="44"/>
      <c r="D8" s="44"/>
      <c r="E8" s="45"/>
      <c r="F8" s="58"/>
      <c r="G8" s="75"/>
      <c r="H8" s="45"/>
      <c r="I8" s="100"/>
      <c r="J8" s="100"/>
      <c r="K8" s="65"/>
      <c r="L8" s="65"/>
      <c r="M8" s="65"/>
      <c r="N8" s="66"/>
      <c r="O8" s="108"/>
      <c r="P8" s="108"/>
    </row>
    <row r="9" spans="1:16" ht="24" hidden="1">
      <c r="A9" s="23" t="s">
        <v>4</v>
      </c>
      <c r="B9" s="5">
        <f>10/10*10987.6</f>
        <v>10987.6</v>
      </c>
      <c r="C9" s="40">
        <f>10/10*10259.9*0+(10546.603+0.397)</f>
        <v>10547</v>
      </c>
      <c r="D9" s="46">
        <f>C9*1.005-0.1995-10599.5355+11091.21231-0.21231</f>
        <v>11090.999999999998</v>
      </c>
      <c r="E9" s="46">
        <f>D9*1.005+0.445-11146.9+11189.1408-0.1408</f>
        <v>11188.999999999996</v>
      </c>
      <c r="F9" s="46">
        <f>E9*1.005+0.185-11245.13+10321.78706+0.21294</f>
        <v>10321.999999999995</v>
      </c>
      <c r="G9" s="76">
        <f>F9*1.005-0.075*0+0.39-10374+10818</f>
        <v>10817.999999999993</v>
      </c>
      <c r="H9" s="67">
        <f>F9*1.005-0.075*0+0.39</f>
        <v>10373.999999999993</v>
      </c>
      <c r="I9" s="67">
        <f>H9*1.005-0.335*0+0.13</f>
        <v>10425.99999999999</v>
      </c>
      <c r="J9" s="46">
        <f>(H9*1.005-0.335*0+0.13-10426)+10900+1511/1511*1000</f>
        <v>11899.99999999999</v>
      </c>
      <c r="K9" s="55">
        <f>(I9*0+J9)*1.005+0.405*0-0.13*0+0.5</f>
        <v>11959.999999999989</v>
      </c>
      <c r="L9" s="55">
        <f>K9*1.005-0.39*0+0.2</f>
        <v>12019.999999999989</v>
      </c>
      <c r="M9" s="55">
        <f>L9*1.005+0.35*0+0.9</f>
        <v>12080.999999999987</v>
      </c>
      <c r="N9" s="114">
        <f>M9*1.005+0.085*0+0.595</f>
        <v>12141.999999999985</v>
      </c>
      <c r="O9" s="109"/>
      <c r="P9" s="109"/>
    </row>
    <row r="10" spans="1:16" ht="24" hidden="1">
      <c r="A10" s="23" t="s">
        <v>5</v>
      </c>
      <c r="B10" s="5">
        <f>5/5*1341.03+6/6*1150.47+8/8*105.09+9/9*9204+10/10*-2609.06</f>
        <v>9191.53</v>
      </c>
      <c r="C10" s="40">
        <f>(5/5*1464+6/6*205+8/8*220+9/9*1700+10/10*-2922.8-666.2)+(1985.1864-0.1864)</f>
        <v>1984.9999999999998</v>
      </c>
      <c r="D10" s="46">
        <f>(C10+2004/2004*3272.8)*1.02+0.22-5363.176+3962.98819+0.01181</f>
        <v>3963</v>
      </c>
      <c r="E10" s="46">
        <f>D10*1.02-0.36-4041.9+4738.37904-0.37904*0+0.62096</f>
        <v>4739</v>
      </c>
      <c r="F10" s="46">
        <f>E10*1.02+0.04-4833.82+5707.70721+(0.29279-0.70721*0)</f>
        <v>5708</v>
      </c>
      <c r="G10" s="76">
        <f>F10*1.02+0.4*0-0.16-5822+1800+2122/2122*2000*0</f>
        <v>1800</v>
      </c>
      <c r="H10" s="67">
        <f>F10*1.02+0.4*0-0.16</f>
        <v>5822</v>
      </c>
      <c r="I10" s="67">
        <f>H10*1.02-0.28*0-0.44</f>
        <v>5938.000000000001</v>
      </c>
      <c r="J10" s="46">
        <f>(H10*1.02-0.28*0-0.44-5938)+(1800+1530)</f>
        <v>3330.000000000001</v>
      </c>
      <c r="K10" s="55">
        <f>(I10*0+J10)*1.02+0.02*0+0.24*0+0.4</f>
        <v>3397.000000000001</v>
      </c>
      <c r="L10" s="55">
        <f>K10*1.02-0.14*0+0.06</f>
        <v>3465.000000000001</v>
      </c>
      <c r="M10" s="55">
        <f>L10*1.02+0.44*0+0.7</f>
        <v>3535.000000000001</v>
      </c>
      <c r="N10" s="114">
        <f>M10*1.02-0.04*0+0.3</f>
        <v>3606.0000000000014</v>
      </c>
      <c r="O10" s="109"/>
      <c r="P10" s="109"/>
    </row>
    <row r="11" spans="1:16" ht="24" hidden="1">
      <c r="A11" s="25" t="s">
        <v>6</v>
      </c>
      <c r="B11" s="5">
        <v>0</v>
      </c>
      <c r="C11" s="5">
        <v>0</v>
      </c>
      <c r="D11" s="47">
        <f>0+380</f>
        <v>380</v>
      </c>
      <c r="E11" s="48">
        <v>0</v>
      </c>
      <c r="F11" s="59">
        <v>0</v>
      </c>
      <c r="G11" s="77">
        <v>0</v>
      </c>
      <c r="H11" s="48">
        <v>0</v>
      </c>
      <c r="I11" s="59">
        <v>0</v>
      </c>
      <c r="J11" s="59">
        <v>0</v>
      </c>
      <c r="K11" s="115">
        <v>0</v>
      </c>
      <c r="L11" s="115">
        <v>0</v>
      </c>
      <c r="M11" s="115">
        <v>0</v>
      </c>
      <c r="N11" s="116">
        <v>0</v>
      </c>
      <c r="O11" s="109"/>
      <c r="P11" s="109"/>
    </row>
    <row r="12" spans="1:16" ht="13.5" hidden="1" thickBot="1">
      <c r="A12" s="26" t="s">
        <v>7</v>
      </c>
      <c r="B12" s="7">
        <f>SUM(B9:B11)</f>
        <v>20179.13</v>
      </c>
      <c r="C12" s="7">
        <f>SUM(C9:C11)</f>
        <v>12532</v>
      </c>
      <c r="D12" s="7">
        <f aca="true" t="shared" si="0" ref="D12:K12">SUM(D9:D11)</f>
        <v>15433.999999999998</v>
      </c>
      <c r="E12" s="7">
        <f t="shared" si="0"/>
        <v>15927.999999999996</v>
      </c>
      <c r="F12" s="7">
        <f t="shared" si="0"/>
        <v>16029.999999999995</v>
      </c>
      <c r="G12" s="78">
        <f t="shared" si="0"/>
        <v>12617.999999999993</v>
      </c>
      <c r="H12" s="7">
        <f t="shared" si="0"/>
        <v>16195.999999999993</v>
      </c>
      <c r="I12" s="7">
        <f t="shared" si="0"/>
        <v>16363.999999999993</v>
      </c>
      <c r="J12" s="7">
        <f t="shared" si="0"/>
        <v>15229.999999999993</v>
      </c>
      <c r="K12" s="49">
        <f t="shared" si="0"/>
        <v>15356.999999999989</v>
      </c>
      <c r="L12" s="49">
        <f>SUM(L9:L11)</f>
        <v>15484.999999999989</v>
      </c>
      <c r="M12" s="49">
        <f>SUM(M9:M11)</f>
        <v>15615.999999999989</v>
      </c>
      <c r="N12" s="117">
        <f>SUM(N9:N11)</f>
        <v>15747.999999999987</v>
      </c>
      <c r="O12" s="110"/>
      <c r="P12" s="110"/>
    </row>
    <row r="13" spans="1:16" ht="6.75" customHeight="1" hidden="1">
      <c r="A13" s="3"/>
      <c r="B13" s="4"/>
      <c r="C13" s="44"/>
      <c r="D13" s="44"/>
      <c r="E13" s="45"/>
      <c r="F13" s="58"/>
      <c r="G13" s="75"/>
      <c r="H13" s="45"/>
      <c r="I13" s="100"/>
      <c r="J13" s="100"/>
      <c r="K13" s="65"/>
      <c r="L13" s="65"/>
      <c r="M13" s="65"/>
      <c r="N13" s="66"/>
      <c r="O13" s="108"/>
      <c r="P13" s="108"/>
    </row>
    <row r="14" spans="1:16" ht="24" hidden="1">
      <c r="A14" s="25" t="s">
        <v>8</v>
      </c>
      <c r="B14" s="5">
        <f>1/1*13900+2/2*10806+3/3*1200+4/4*20231+5/5*2096.48+6/6*42+7/7*84+8/8*150.69+9/9*875.4+10/10*52459.11</f>
        <v>101844.68000000001</v>
      </c>
      <c r="C14" s="40">
        <f>(1/1*0+2/2*850+3/3*1350+4/4*8889.8+5/5*568.8+6/6*5040.3+7/7*53+8/8*3836.5+9/9*439.4+10/10*51562.8-72590.6)+182448.31568-0.31568-4134/4134*99045.09887+0.09887</f>
        <v>83403</v>
      </c>
      <c r="D14" s="47">
        <f>(1/1*0+2/2*850+3/3*1350+4/4*8889.8+5/5*568.8+6/6*5040.3+7/7*53+8/8*3836.5+9/9*439.4)*0+(4/4*3000+6/6*3000+8/8*2500+9/9*500)+10/10*(16836+24233+9021/9021*12000)-62069+179416.21408-0.21408-4134/4134*102421.25061+0.2506</f>
        <v>76994.99999</v>
      </c>
      <c r="E14" s="46">
        <f>D14*1.02-0.38-78534.51999+195443.36484-0.36484-4134/4134*101603.08961+0.08961</f>
        <v>93839.9999998</v>
      </c>
      <c r="F14" s="46">
        <f>E14*1.02-0.2-95716.5999998+221241.88505+0.11495-4134/4134*(112205.63275+0.36725)</f>
        <v>109035.99999999601</v>
      </c>
      <c r="G14" s="76">
        <f>F14*1.02-0.52*0+0.28-111217+214764.5-4234/4234*105153</f>
        <v>109611.49999999593</v>
      </c>
      <c r="H14" s="67">
        <f>F14*1.02-0.52*0+0.28</f>
        <v>111216.99999999594</v>
      </c>
      <c r="I14" s="67">
        <f>H14*1.02+0.66</f>
        <v>113441.99999999587</v>
      </c>
      <c r="J14" s="46">
        <f>(H14*1.02+0.66-113442)+79770</f>
        <v>79769.99999999587</v>
      </c>
      <c r="K14" s="55">
        <f>(I14*0+J14)*1.02+0.3*0+0.16*0+0.6</f>
        <v>81365.9999999958</v>
      </c>
      <c r="L14" s="55">
        <f>K14*1.02-0.22*0-0.32</f>
        <v>82992.9999999957</v>
      </c>
      <c r="M14" s="55">
        <f>L14*1.02+0.5*0+0.14</f>
        <v>84652.99999999562</v>
      </c>
      <c r="N14" s="114">
        <f>M14*1.02+0.28*0-0.06</f>
        <v>86345.99999999553</v>
      </c>
      <c r="O14" s="109"/>
      <c r="P14" s="109"/>
    </row>
    <row r="15" spans="1:16" ht="13.5" hidden="1" thickBot="1">
      <c r="A15" s="26" t="s">
        <v>9</v>
      </c>
      <c r="B15" s="7">
        <f>B12+B14</f>
        <v>122023.81000000001</v>
      </c>
      <c r="C15" s="49">
        <f>C12+C14</f>
        <v>95935</v>
      </c>
      <c r="D15" s="7">
        <f aca="true" t="shared" si="1" ref="D15:K15">D12+D14</f>
        <v>92428.99999</v>
      </c>
      <c r="E15" s="7">
        <f t="shared" si="1"/>
        <v>109767.9999998</v>
      </c>
      <c r="F15" s="7">
        <f>F12+F14</f>
        <v>125065.99999999601</v>
      </c>
      <c r="G15" s="78">
        <f t="shared" si="1"/>
        <v>122229.49999999593</v>
      </c>
      <c r="H15" s="7">
        <f t="shared" si="1"/>
        <v>127412.99999999593</v>
      </c>
      <c r="I15" s="7">
        <f t="shared" si="1"/>
        <v>129805.99999999587</v>
      </c>
      <c r="J15" s="7">
        <f t="shared" si="1"/>
        <v>94999.99999999587</v>
      </c>
      <c r="K15" s="49">
        <f t="shared" si="1"/>
        <v>96722.99999999578</v>
      </c>
      <c r="L15" s="49">
        <f>L12+L14</f>
        <v>98477.99999999569</v>
      </c>
      <c r="M15" s="49">
        <f>M12+M14</f>
        <v>100268.9999999956</v>
      </c>
      <c r="N15" s="117">
        <f>N12+N14</f>
        <v>102093.99999999552</v>
      </c>
      <c r="O15" s="110"/>
      <c r="P15" s="110"/>
    </row>
    <row r="16" spans="1:16" ht="6.75" customHeight="1" hidden="1">
      <c r="A16" s="3"/>
      <c r="B16" s="4"/>
      <c r="C16" s="44"/>
      <c r="D16" s="44"/>
      <c r="E16" s="45"/>
      <c r="F16" s="58"/>
      <c r="G16" s="75"/>
      <c r="H16" s="45"/>
      <c r="I16" s="100"/>
      <c r="J16" s="100"/>
      <c r="K16" s="65"/>
      <c r="L16" s="65"/>
      <c r="M16" s="65"/>
      <c r="N16" s="66"/>
      <c r="O16" s="108"/>
      <c r="P16" s="108"/>
    </row>
    <row r="17" spans="1:16" ht="6.75" customHeight="1" hidden="1" thickBot="1">
      <c r="A17" s="24"/>
      <c r="B17" s="19"/>
      <c r="C17" s="19"/>
      <c r="D17" s="19"/>
      <c r="E17" s="19"/>
      <c r="F17" s="20"/>
      <c r="G17" s="87"/>
      <c r="H17" s="19"/>
      <c r="I17" s="21"/>
      <c r="J17" s="21"/>
      <c r="K17" s="124"/>
      <c r="L17" s="124"/>
      <c r="M17" s="124"/>
      <c r="N17" s="125"/>
      <c r="O17" s="111"/>
      <c r="P17" s="111"/>
    </row>
    <row r="18" spans="1:16" ht="12.75" hidden="1">
      <c r="A18" s="28" t="s">
        <v>10</v>
      </c>
      <c r="B18" s="12">
        <v>101493.91</v>
      </c>
      <c r="C18" s="52">
        <f>68170.5*0+175017.41625-0.41625-5344/5344*99045.09887+0.09887</f>
        <v>75972</v>
      </c>
      <c r="D18" s="53">
        <f>61533.57*12/10-3840.284-70000+188293.94315+0.05685-5344/5344*101722.48561-5342/5342*853.425-0.0894</f>
        <v>85717.99999</v>
      </c>
      <c r="E18" s="53">
        <f>D18*1.02-87432.3599898+187453.34986-0.34986-5345/5345*100753.13461-5342/5342*849.955+0.08961</f>
        <v>85850</v>
      </c>
      <c r="F18" s="53">
        <f>E18*1.02-87567+203559.05282-0.05282-5345/5345*111373.85775-5342/5342*831.775-0.36725*0+0.63275</f>
        <v>91354.00000000001</v>
      </c>
      <c r="G18" s="82">
        <f>F18*1.02+0.44*0-0.08-93181+192989.5-5345/5345*105153</f>
        <v>87836.5</v>
      </c>
      <c r="H18" s="69">
        <f>F18*1.02+0.44*0-0.08</f>
        <v>93181.00000000001</v>
      </c>
      <c r="I18" s="69">
        <f>H18*1.02+0.3*0+0.38</f>
        <v>95045.00000000001</v>
      </c>
      <c r="J18" s="69">
        <f>(H18*1.02+0.3*0+0.38-95045)+85000</f>
        <v>85000.00000000001</v>
      </c>
      <c r="K18" s="53">
        <f>(I18*0+J18)*1.02-0.42*0+0.1*0</f>
        <v>86700.00000000001</v>
      </c>
      <c r="L18" s="53">
        <f>K18*1.02+0.08*0</f>
        <v>88434.00000000001</v>
      </c>
      <c r="M18" s="53">
        <f>L18*1.02+0.3*0+0.32</f>
        <v>90203.00000000003</v>
      </c>
      <c r="N18" s="121">
        <f>M18*1.02-0.26*0-0.06</f>
        <v>92007.00000000003</v>
      </c>
      <c r="O18" s="109"/>
      <c r="P18" s="109"/>
    </row>
    <row r="19" spans="1:16" ht="24" customHeight="1" hidden="1">
      <c r="A19" s="23" t="s">
        <v>11</v>
      </c>
      <c r="B19" s="13">
        <v>40939.92</v>
      </c>
      <c r="C19" s="54">
        <f>27827.4*0+29837.50676+0.49324</f>
        <v>29838</v>
      </c>
      <c r="D19" s="55">
        <f>23243.38*12/10-21494.056-6398+20982.54748+0.45252</f>
        <v>20983</v>
      </c>
      <c r="E19" s="46">
        <f>D19*1.02-155+0.04-21247.7+20518.40996+0.59004</f>
        <v>20519</v>
      </c>
      <c r="F19" s="46">
        <f>E19*1.02-155.42-20773.96+32832.22895-0.22895</f>
        <v>32832.00000000001</v>
      </c>
      <c r="G19" s="76">
        <f>F19*1.02-156.86*0+0.36-33489+34393</f>
        <v>34393.00000000001</v>
      </c>
      <c r="H19" s="67">
        <f>F19*1.02-156.86*0+0.36+743</f>
        <v>34232.00000000001</v>
      </c>
      <c r="I19" s="67">
        <f>H19*1.02-157.26*0+0.22-155.86</f>
        <v>34761.00000000001</v>
      </c>
      <c r="J19" s="67">
        <f>(H19*1.02-157.26*0+0.22-155.86-34761)+10000</f>
        <v>10000.000000000007</v>
      </c>
      <c r="K19" s="55">
        <f>(I19*0+J19)*1.02+(-156.64+0.46-0.04)*0-177</f>
        <v>10023.000000000007</v>
      </c>
      <c r="L19" s="55">
        <f>K19*1.02+(0.28-158.28)*0-179.46</f>
        <v>10044.00000000001</v>
      </c>
      <c r="M19" s="55">
        <f>L19*1.02+(0.4-157.36)*0-178.88</f>
        <v>10066.000000000011</v>
      </c>
      <c r="N19" s="114">
        <f>M19*1.02+(0.24-158.4)*0-180.32</f>
        <v>10087.000000000011</v>
      </c>
      <c r="O19" s="109"/>
      <c r="P19" s="109"/>
    </row>
    <row r="20" spans="1:16" ht="13.5" hidden="1" thickBot="1">
      <c r="A20" s="26" t="s">
        <v>12</v>
      </c>
      <c r="B20" s="7">
        <f>B18+B19</f>
        <v>142433.83000000002</v>
      </c>
      <c r="C20" s="7">
        <f>C18+C19</f>
        <v>105810</v>
      </c>
      <c r="D20" s="7">
        <f>D18+D19</f>
        <v>106700.99999</v>
      </c>
      <c r="E20" s="7">
        <f aca="true" t="shared" si="2" ref="E20:K20">E18+E19</f>
        <v>106369</v>
      </c>
      <c r="F20" s="7">
        <f t="shared" si="2"/>
        <v>124186.00000000003</v>
      </c>
      <c r="G20" s="78">
        <f t="shared" si="2"/>
        <v>122229.5</v>
      </c>
      <c r="H20" s="7">
        <f t="shared" si="2"/>
        <v>127413.00000000003</v>
      </c>
      <c r="I20" s="7">
        <f t="shared" si="2"/>
        <v>129806.00000000003</v>
      </c>
      <c r="J20" s="7">
        <f t="shared" si="2"/>
        <v>95000.00000000003</v>
      </c>
      <c r="K20" s="49">
        <f t="shared" si="2"/>
        <v>96723.00000000003</v>
      </c>
      <c r="L20" s="49">
        <f>L18+L19</f>
        <v>98478.00000000003</v>
      </c>
      <c r="M20" s="49">
        <f>M18+M19</f>
        <v>100269.00000000004</v>
      </c>
      <c r="N20" s="117">
        <f>N18+N19</f>
        <v>102094.00000000004</v>
      </c>
      <c r="O20" s="110"/>
      <c r="P20" s="110"/>
    </row>
    <row r="21" spans="1:16" ht="6.75" customHeight="1" hidden="1">
      <c r="A21" s="3"/>
      <c r="B21" s="4"/>
      <c r="C21" s="44"/>
      <c r="D21" s="44"/>
      <c r="E21" s="45"/>
      <c r="F21" s="58"/>
      <c r="G21" s="75"/>
      <c r="H21" s="45"/>
      <c r="I21" s="100"/>
      <c r="J21" s="100"/>
      <c r="K21" s="65"/>
      <c r="L21" s="65"/>
      <c r="M21" s="65"/>
      <c r="N21" s="66"/>
      <c r="O21" s="108"/>
      <c r="P21" s="108"/>
    </row>
    <row r="22" spans="1:16" ht="6.75" customHeight="1" hidden="1" thickBot="1">
      <c r="A22" s="24"/>
      <c r="B22" s="19"/>
      <c r="C22" s="19"/>
      <c r="D22" s="19"/>
      <c r="E22" s="19"/>
      <c r="F22" s="20"/>
      <c r="G22" s="87"/>
      <c r="H22" s="19"/>
      <c r="I22" s="21"/>
      <c r="J22" s="21"/>
      <c r="K22" s="124"/>
      <c r="L22" s="124"/>
      <c r="M22" s="124"/>
      <c r="N22" s="125"/>
      <c r="O22" s="111"/>
      <c r="P22" s="111"/>
    </row>
    <row r="23" spans="1:16" s="35" customFormat="1" ht="24" hidden="1" thickBot="1">
      <c r="A23" s="34" t="s">
        <v>16</v>
      </c>
      <c r="B23" s="15">
        <f>B15-B20</f>
        <v>-20410.020000000004</v>
      </c>
      <c r="C23" s="15">
        <f>C15-C20</f>
        <v>-9875</v>
      </c>
      <c r="D23" s="15">
        <f aca="true" t="shared" si="3" ref="D23:K23">D15-D20</f>
        <v>-14272</v>
      </c>
      <c r="E23" s="15">
        <f t="shared" si="3"/>
        <v>3398.9999997999985</v>
      </c>
      <c r="F23" s="15">
        <f t="shared" si="3"/>
        <v>879.9999999959837</v>
      </c>
      <c r="G23" s="84">
        <f>G15-G20</f>
        <v>-4.0745362639427185E-09</v>
      </c>
      <c r="H23" s="15">
        <f t="shared" si="3"/>
        <v>-4.103640094399452E-09</v>
      </c>
      <c r="I23" s="15">
        <f t="shared" si="3"/>
        <v>-4.16184775531292E-09</v>
      </c>
      <c r="J23" s="15">
        <f>J15-J20</f>
        <v>-4.16184775531292E-09</v>
      </c>
      <c r="K23" s="105">
        <f t="shared" si="3"/>
        <v>-4.249159246683121E-09</v>
      </c>
      <c r="L23" s="105">
        <f>L15-L20</f>
        <v>-4.336470738053322E-09</v>
      </c>
      <c r="M23" s="105">
        <f>M15-M20</f>
        <v>-4.43833414465189E-09</v>
      </c>
      <c r="N23" s="106">
        <f>N15-N20</f>
        <v>-4.525645636022091E-09</v>
      </c>
      <c r="O23" s="112"/>
      <c r="P23" s="112"/>
    </row>
    <row r="24" spans="1:16" ht="12.75" hidden="1">
      <c r="A24" s="29" t="s">
        <v>15</v>
      </c>
      <c r="B24" s="8"/>
      <c r="C24" s="22">
        <f>3735.4+1479.2+3415.8+(577.9)+2004/2004*3272.8</f>
        <v>12481.100000000002</v>
      </c>
      <c r="D24" s="56">
        <f>8/8*14426.97605-0.07605+0.1</f>
        <v>14427</v>
      </c>
      <c r="E24" s="57">
        <f>8/8*-(3399.12486-0.12486)</f>
        <v>-3399</v>
      </c>
      <c r="F24" s="57">
        <f>8/8*-(880.09755-0.09755)</f>
        <v>-880</v>
      </c>
      <c r="G24" s="79"/>
      <c r="H24" s="8"/>
      <c r="I24" s="9"/>
      <c r="J24" s="9"/>
      <c r="K24" s="57"/>
      <c r="L24" s="57"/>
      <c r="M24" s="57"/>
      <c r="N24" s="118"/>
      <c r="O24" s="110"/>
      <c r="P24" s="110"/>
    </row>
    <row r="25" spans="1:16" ht="24" hidden="1">
      <c r="A25" s="23" t="s">
        <v>13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85">
        <v>0</v>
      </c>
      <c r="H25" s="17">
        <v>0</v>
      </c>
      <c r="I25" s="17">
        <v>0</v>
      </c>
      <c r="J25" s="17">
        <v>0</v>
      </c>
      <c r="K25" s="122">
        <v>0</v>
      </c>
      <c r="L25" s="122">
        <v>0</v>
      </c>
      <c r="M25" s="122">
        <v>0</v>
      </c>
      <c r="N25" s="123">
        <v>0</v>
      </c>
      <c r="O25" s="113"/>
      <c r="P25" s="113"/>
    </row>
    <row r="26" spans="1:16" ht="6.75" customHeight="1" hidden="1">
      <c r="A26" s="23"/>
      <c r="B26" s="18"/>
      <c r="C26" s="18"/>
      <c r="D26" s="18"/>
      <c r="E26" s="18"/>
      <c r="F26" s="18"/>
      <c r="G26" s="86"/>
      <c r="H26" s="18"/>
      <c r="I26" s="18"/>
      <c r="J26" s="18"/>
      <c r="K26" s="55"/>
      <c r="L26" s="55"/>
      <c r="M26" s="55"/>
      <c r="N26" s="114"/>
      <c r="O26" s="109"/>
      <c r="P26" s="109"/>
    </row>
    <row r="27" spans="1:16" ht="24" hidden="1">
      <c r="A27" s="23" t="s">
        <v>17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86">
        <v>0</v>
      </c>
      <c r="H27" s="18">
        <v>0</v>
      </c>
      <c r="I27" s="18">
        <v>0</v>
      </c>
      <c r="J27" s="18">
        <v>0</v>
      </c>
      <c r="K27" s="55">
        <v>0</v>
      </c>
      <c r="L27" s="55">
        <v>0</v>
      </c>
      <c r="M27" s="55">
        <v>0</v>
      </c>
      <c r="N27" s="114">
        <v>0</v>
      </c>
      <c r="O27" s="109"/>
      <c r="P27" s="109"/>
    </row>
    <row r="28" spans="1:16" ht="6.75" customHeight="1" hidden="1" thickBot="1">
      <c r="A28" s="24"/>
      <c r="B28" s="19"/>
      <c r="C28" s="19"/>
      <c r="D28" s="19"/>
      <c r="E28" s="19"/>
      <c r="F28" s="20"/>
      <c r="G28" s="87"/>
      <c r="H28" s="19"/>
      <c r="I28" s="21"/>
      <c r="J28" s="21"/>
      <c r="K28" s="124"/>
      <c r="L28" s="124"/>
      <c r="M28" s="124"/>
      <c r="N28" s="125"/>
      <c r="O28" s="111"/>
      <c r="P28" s="111"/>
    </row>
    <row r="29" spans="1:16" ht="23.25" hidden="1" thickBot="1">
      <c r="A29" s="30" t="s">
        <v>14</v>
      </c>
      <c r="B29" s="15">
        <f>0</f>
        <v>0</v>
      </c>
      <c r="C29" s="15">
        <f>0</f>
        <v>0</v>
      </c>
      <c r="D29" s="15">
        <v>0</v>
      </c>
      <c r="E29" s="15">
        <v>0</v>
      </c>
      <c r="F29" s="15">
        <v>0</v>
      </c>
      <c r="G29" s="84">
        <v>0</v>
      </c>
      <c r="H29" s="15">
        <v>0</v>
      </c>
      <c r="I29" s="16">
        <v>0</v>
      </c>
      <c r="J29" s="16">
        <v>0</v>
      </c>
      <c r="K29" s="105">
        <v>0</v>
      </c>
      <c r="L29" s="105">
        <v>0</v>
      </c>
      <c r="M29" s="105">
        <v>0</v>
      </c>
      <c r="N29" s="106">
        <v>0</v>
      </c>
      <c r="O29" s="111"/>
      <c r="P29" s="111"/>
    </row>
    <row r="30" ht="12.75" hidden="1"/>
    <row r="31" ht="12.75" hidden="1"/>
    <row r="32" ht="12.75" hidden="1"/>
    <row r="33" ht="12.75" hidden="1"/>
    <row r="34" spans="1:7" ht="15.75" customHeight="1" hidden="1">
      <c r="A34" s="1" t="s">
        <v>38</v>
      </c>
      <c r="B34" s="2"/>
      <c r="C34" s="42"/>
      <c r="D34" s="42"/>
      <c r="E34" s="42"/>
      <c r="F34" s="42"/>
      <c r="G34" s="72"/>
    </row>
    <row r="35" spans="11:16" ht="12.75" hidden="1">
      <c r="K35" s="43" t="s">
        <v>21</v>
      </c>
      <c r="L35" s="43" t="s">
        <v>21</v>
      </c>
      <c r="M35" s="43" t="s">
        <v>21</v>
      </c>
      <c r="N35" s="43" t="s">
        <v>0</v>
      </c>
      <c r="O35" s="43"/>
      <c r="P35" s="43"/>
    </row>
    <row r="36" spans="1:16" s="39" customFormat="1" ht="45" customHeight="1" hidden="1" thickBot="1">
      <c r="A36" s="37" t="s">
        <v>1</v>
      </c>
      <c r="B36" s="38" t="s">
        <v>2</v>
      </c>
      <c r="C36" s="88" t="s">
        <v>23</v>
      </c>
      <c r="D36" s="88" t="s">
        <v>24</v>
      </c>
      <c r="E36" s="88" t="s">
        <v>25</v>
      </c>
      <c r="F36" s="88" t="s">
        <v>26</v>
      </c>
      <c r="G36" s="74" t="s">
        <v>22</v>
      </c>
      <c r="H36" s="133" t="s">
        <v>34</v>
      </c>
      <c r="I36" s="155" t="s">
        <v>36</v>
      </c>
      <c r="J36" s="154" t="s">
        <v>37</v>
      </c>
      <c r="K36" s="133" t="s">
        <v>35</v>
      </c>
      <c r="L36" s="63" t="s">
        <v>18</v>
      </c>
      <c r="M36" s="63" t="s">
        <v>19</v>
      </c>
      <c r="N36" s="126" t="s">
        <v>20</v>
      </c>
      <c r="O36" s="133" t="s">
        <v>32</v>
      </c>
      <c r="P36" s="145" t="s">
        <v>33</v>
      </c>
    </row>
    <row r="37" spans="1:16" ht="4.5" customHeight="1" hidden="1">
      <c r="A37" s="3"/>
      <c r="B37" s="4"/>
      <c r="C37" s="44"/>
      <c r="D37" s="44"/>
      <c r="E37" s="45"/>
      <c r="F37" s="58"/>
      <c r="G37" s="75"/>
      <c r="H37" s="45"/>
      <c r="I37" s="100"/>
      <c r="J37" s="100"/>
      <c r="K37" s="65"/>
      <c r="L37" s="65"/>
      <c r="M37" s="65"/>
      <c r="N37" s="108"/>
      <c r="O37" s="134"/>
      <c r="P37" s="146"/>
    </row>
    <row r="38" spans="1:16" ht="24" hidden="1">
      <c r="A38" s="23" t="s">
        <v>4</v>
      </c>
      <c r="B38" s="5">
        <f>10/10*10987.6</f>
        <v>10987.6</v>
      </c>
      <c r="C38" s="40">
        <f>10/10*10259.9*0+(10546.603+0.397)</f>
        <v>10547</v>
      </c>
      <c r="D38" s="46">
        <f>C38*1.005-0.1995-10599.5355+11091.21231-0.21231</f>
        <v>11090.999999999998</v>
      </c>
      <c r="E38" s="46">
        <f>D38*1.005+0.445-11146.9+11189.1408-0.1408</f>
        <v>11188.999999999996</v>
      </c>
      <c r="F38" s="46">
        <f>E38*1.005+0.185-11245.13+10321.78706+0.21294</f>
        <v>10321.999999999995</v>
      </c>
      <c r="G38" s="76">
        <f>F38*1.005-0.075*0+0.39-10374+10818</f>
        <v>10817.999999999993</v>
      </c>
      <c r="H38" s="157">
        <f>F38*1.005-0.075*0+0.39-10374+10122.21594</f>
        <v>10122.215939999993</v>
      </c>
      <c r="I38" s="157">
        <f>H38*1.005-0.335*0+0.13-10172.95702+13585.47128</f>
        <v>13585.47127969999</v>
      </c>
      <c r="J38" s="160">
        <f>(H38*0+I38)*1.005+0.405*0-0.13*0+0.5</f>
        <v>13653.898636098489</v>
      </c>
      <c r="K38" s="160">
        <f>(I38*0+J38)*1.005+0.405*0-0.13*0+0.5-13722.66813+14400</f>
        <v>14399.99999927898</v>
      </c>
      <c r="L38" s="55">
        <f>K38*1.005-0.39*0</f>
        <v>14471.999999275373</v>
      </c>
      <c r="M38" s="55">
        <f>L38*1.005+0.35*0+0.64</f>
        <v>14544.999999271748</v>
      </c>
      <c r="N38" s="161">
        <f>M38*1.005+0.085*0+0.275</f>
        <v>14617.999999268104</v>
      </c>
      <c r="O38" s="160">
        <f>N38*1.005+0.085*0-0.09</f>
        <v>14690.999999264443</v>
      </c>
      <c r="P38" s="162">
        <f>O38*1.005+0.085*0+0.545</f>
        <v>14764.999999260763</v>
      </c>
    </row>
    <row r="39" spans="1:16" ht="24" hidden="1">
      <c r="A39" s="23" t="s">
        <v>5</v>
      </c>
      <c r="B39" s="5">
        <f>5/5*1341.03+6/6*1150.47+8/8*105.09+9/9*9204+10/10*-2609.06</f>
        <v>9191.53</v>
      </c>
      <c r="C39" s="40">
        <f>(5/5*1464+6/6*205+8/8*220+9/9*1700+10/10*-2922.8-666.2)+(1985.1864-0.1864)</f>
        <v>1984.9999999999998</v>
      </c>
      <c r="D39" s="46">
        <f>(C39+2004/2004*3272.8)*1.02+0.22-5363.176+3962.98819+0.01181</f>
        <v>3963</v>
      </c>
      <c r="E39" s="46">
        <f>D39*1.02-0.36-4041.9+4738.37904-0.37904*0+0.62096</f>
        <v>4739</v>
      </c>
      <c r="F39" s="46">
        <f>E39*1.02+0.04-4833.82+5707.70721+(0.29279-0.70721*0)</f>
        <v>5708</v>
      </c>
      <c r="G39" s="76">
        <f>F39*1.02+0.4*0-0.16-5822+1800+2122/2122*2000*0</f>
        <v>1800</v>
      </c>
      <c r="H39" s="157">
        <f>F39*1.02+0.4*0-0.16-5822+3233.0081</f>
        <v>3233.0081</v>
      </c>
      <c r="I39" s="157">
        <f>H39*1.02-0.28*0-0.44-3297.228262+3735.47641</f>
        <v>3735.47641</v>
      </c>
      <c r="J39" s="160">
        <f>(H39*0+I39)*1.02+0.02*0+0.24*0+0.4</f>
        <v>3810.5859382000003</v>
      </c>
      <c r="K39" s="160">
        <f>(I39*0+J39)*1.02+0.02*0+0.24*0+0.4-3887.197657+13265</f>
        <v>13264.999999964</v>
      </c>
      <c r="L39" s="55">
        <f>K39*1.02-0.14*0-0.3</f>
        <v>13529.999999963282</v>
      </c>
      <c r="M39" s="55">
        <f>L39*1.02+0.44*0+0.4</f>
        <v>13800.999999962547</v>
      </c>
      <c r="N39" s="161">
        <f>M39*1.02-0.04*0-0.02</f>
        <v>14076.999999961798</v>
      </c>
      <c r="O39" s="160">
        <f>N39*1.02-0.04*0+0.46</f>
        <v>14358.999999961034</v>
      </c>
      <c r="P39" s="162">
        <f>O39*1.02-0.04*0-0.18</f>
        <v>14645.999999960255</v>
      </c>
    </row>
    <row r="40" spans="1:16" ht="24" hidden="1">
      <c r="A40" s="25" t="s">
        <v>6</v>
      </c>
      <c r="B40" s="5">
        <v>0</v>
      </c>
      <c r="C40" s="5">
        <v>0</v>
      </c>
      <c r="D40" s="47">
        <f>0+380</f>
        <v>380</v>
      </c>
      <c r="E40" s="48">
        <v>0</v>
      </c>
      <c r="F40" s="59">
        <v>0</v>
      </c>
      <c r="G40" s="77">
        <v>0</v>
      </c>
      <c r="H40" s="136">
        <f>0+250</f>
        <v>250</v>
      </c>
      <c r="I40" s="33">
        <v>0</v>
      </c>
      <c r="J40" s="163">
        <v>0</v>
      </c>
      <c r="K40" s="163">
        <v>0</v>
      </c>
      <c r="L40" s="115">
        <v>0</v>
      </c>
      <c r="M40" s="115">
        <v>0</v>
      </c>
      <c r="N40" s="164">
        <v>0</v>
      </c>
      <c r="O40" s="163">
        <v>0</v>
      </c>
      <c r="P40" s="165">
        <v>0</v>
      </c>
    </row>
    <row r="41" spans="1:16" ht="13.5" hidden="1" thickBot="1">
      <c r="A41" s="26" t="s">
        <v>7</v>
      </c>
      <c r="B41" s="7">
        <f aca="true" t="shared" si="4" ref="B41:P41">SUM(B38:B40)</f>
        <v>20179.13</v>
      </c>
      <c r="C41" s="7">
        <f t="shared" si="4"/>
        <v>12532</v>
      </c>
      <c r="D41" s="7">
        <f t="shared" si="4"/>
        <v>15433.999999999998</v>
      </c>
      <c r="E41" s="7">
        <f t="shared" si="4"/>
        <v>15927.999999999996</v>
      </c>
      <c r="F41" s="7">
        <f t="shared" si="4"/>
        <v>16029.999999999995</v>
      </c>
      <c r="G41" s="78">
        <f t="shared" si="4"/>
        <v>12617.999999999993</v>
      </c>
      <c r="H41" s="137">
        <f t="shared" si="4"/>
        <v>13605.224039999994</v>
      </c>
      <c r="I41" s="137">
        <f t="shared" si="4"/>
        <v>17320.94768969999</v>
      </c>
      <c r="J41" s="166">
        <f t="shared" si="4"/>
        <v>17464.48457429849</v>
      </c>
      <c r="K41" s="166">
        <f t="shared" si="4"/>
        <v>27664.99999924298</v>
      </c>
      <c r="L41" s="49">
        <f t="shared" si="4"/>
        <v>28001.999999238655</v>
      </c>
      <c r="M41" s="49">
        <f t="shared" si="4"/>
        <v>28345.999999234293</v>
      </c>
      <c r="N41" s="167">
        <f t="shared" si="4"/>
        <v>28694.9999992299</v>
      </c>
      <c r="O41" s="166">
        <f t="shared" si="4"/>
        <v>29049.999999225474</v>
      </c>
      <c r="P41" s="168">
        <f t="shared" si="4"/>
        <v>29410.999999221018</v>
      </c>
    </row>
    <row r="42" spans="1:16" ht="4.5" customHeight="1" hidden="1">
      <c r="A42" s="3"/>
      <c r="B42" s="4"/>
      <c r="C42" s="44"/>
      <c r="D42" s="44"/>
      <c r="E42" s="45"/>
      <c r="F42" s="58"/>
      <c r="G42" s="75"/>
      <c r="H42" s="156"/>
      <c r="I42" s="100"/>
      <c r="J42" s="134"/>
      <c r="K42" s="65"/>
      <c r="L42" s="65"/>
      <c r="M42" s="65"/>
      <c r="N42" s="108"/>
      <c r="O42" s="134"/>
      <c r="P42" s="146"/>
    </row>
    <row r="43" spans="1:16" ht="24" hidden="1">
      <c r="A43" s="25" t="s">
        <v>8</v>
      </c>
      <c r="B43" s="5">
        <f>1/1*13900+2/2*10806+3/3*1200+4/4*20231+5/5*2096.48+6/6*42+7/7*84+8/8*150.69+9/9*875.4+10/10*52459.11</f>
        <v>101844.68000000001</v>
      </c>
      <c r="C43" s="40">
        <f>(1/1*0+2/2*850+3/3*1350+4/4*8889.8+5/5*568.8+6/6*5040.3+7/7*53+8/8*3836.5+9/9*439.4+10/10*51562.8-72590.6)+182448.31568-0.31568-4134/4134*99045.09887+0.09887</f>
        <v>83403</v>
      </c>
      <c r="D43" s="47">
        <f>(1/1*0+2/2*850+3/3*1350+4/4*8889.8+5/5*568.8+6/6*5040.3+7/7*53+8/8*3836.5+9/9*439.4)*0+(4/4*3000+6/6*3000+8/8*2500+9/9*500)+10/10*(16836+24233+9021/9021*12000)-62069+179416.21408-0.21408-4134/4134*102421.25061+0.2506</f>
        <v>76994.99999</v>
      </c>
      <c r="E43" s="46">
        <f>D43*1.02-0.38-78534.51999+195443.36484-0.36484-4134/4134*101603.08961+0.08961</f>
        <v>93839.9999998</v>
      </c>
      <c r="F43" s="46">
        <f>E43*1.02-0.2-95716.5999998+221241.88505+0.11495-4134/4134*(112205.63275+0.36725)</f>
        <v>109035.99999999601</v>
      </c>
      <c r="G43" s="76">
        <f>F43*1.02-0.52*0+0.28-111217+214764.5-4234/4234*105153</f>
        <v>109611.49999999593</v>
      </c>
      <c r="H43" s="157">
        <f>F43*1.02-0.52*0+0.28-111217+411/411*38744.497+421/421*4950+412/412*40958.93476+422/422*21500+413/413*63650</f>
        <v>169803.43175999593</v>
      </c>
      <c r="I43" s="157">
        <f>H43*1.02+0.66-173200.1604+411/411*46255.3+412/412*46666.35628+422/422*15000+413/413*7000+415/415*62.91212</f>
        <v>114984.56839519585</v>
      </c>
      <c r="J43" s="160">
        <f>(H43*0+I43)*1.02+0.3*0+0.16*0+0.6</f>
        <v>117284.85976309977</v>
      </c>
      <c r="K43" s="160">
        <f>(I43*0+J43)*1.02+0.3*0+0.16*0+0.6-119631.156958+(411/411*16653+412/412*31120+413/413*12256)</f>
        <v>60029.00000036176</v>
      </c>
      <c r="L43" s="55">
        <f>K43*1.02-0.22*0+0.42</f>
        <v>61230.00000036899</v>
      </c>
      <c r="M43" s="55">
        <f>L43*1.02+0.5*0+0.4</f>
        <v>62455.00000037638</v>
      </c>
      <c r="N43" s="161">
        <f>M43*1.02+0.28*0-0.1</f>
        <v>63704.00000038391</v>
      </c>
      <c r="O43" s="160">
        <f>N43*1.02+0.28*0-0.08</f>
        <v>64978.000000391585</v>
      </c>
      <c r="P43" s="162">
        <f>O43*1.02+0.28*0+0.44</f>
        <v>66278.00000039942</v>
      </c>
    </row>
    <row r="44" spans="1:16" ht="13.5" hidden="1" thickBot="1">
      <c r="A44" s="26" t="s">
        <v>9</v>
      </c>
      <c r="B44" s="7">
        <f aca="true" t="shared" si="5" ref="B44:P44">B41+B43</f>
        <v>122023.81000000001</v>
      </c>
      <c r="C44" s="49">
        <f t="shared" si="5"/>
        <v>95935</v>
      </c>
      <c r="D44" s="7">
        <f t="shared" si="5"/>
        <v>92428.99999</v>
      </c>
      <c r="E44" s="7">
        <f t="shared" si="5"/>
        <v>109767.9999998</v>
      </c>
      <c r="F44" s="7">
        <f t="shared" si="5"/>
        <v>125065.99999999601</v>
      </c>
      <c r="G44" s="78">
        <f t="shared" si="5"/>
        <v>122229.49999999593</v>
      </c>
      <c r="H44" s="31">
        <f t="shared" si="5"/>
        <v>183408.65579999593</v>
      </c>
      <c r="I44" s="137">
        <f t="shared" si="5"/>
        <v>132305.51608489585</v>
      </c>
      <c r="J44" s="166">
        <f t="shared" si="5"/>
        <v>134749.34433739824</v>
      </c>
      <c r="K44" s="166">
        <f t="shared" si="5"/>
        <v>87693.99999960474</v>
      </c>
      <c r="L44" s="49">
        <f t="shared" si="5"/>
        <v>89231.99999960765</v>
      </c>
      <c r="M44" s="49">
        <f t="shared" si="5"/>
        <v>90800.99999961068</v>
      </c>
      <c r="N44" s="167">
        <f t="shared" si="5"/>
        <v>92398.9999996138</v>
      </c>
      <c r="O44" s="166">
        <f t="shared" si="5"/>
        <v>94027.99999961705</v>
      </c>
      <c r="P44" s="168">
        <f t="shared" si="5"/>
        <v>95688.99999962044</v>
      </c>
    </row>
    <row r="45" spans="1:16" ht="12.75" hidden="1">
      <c r="A45" s="27"/>
      <c r="B45" s="10"/>
      <c r="C45" s="50"/>
      <c r="D45" s="51"/>
      <c r="E45" s="51"/>
      <c r="F45" s="51"/>
      <c r="G45" s="80"/>
      <c r="H45" s="178">
        <f>340964.57945-157555.92365-H44</f>
        <v>4.0745362639427185E-09</v>
      </c>
      <c r="I45" s="178">
        <f>253550.12237-121244.60628-I44</f>
        <v>5.104142474010587E-06</v>
      </c>
      <c r="J45" s="169"/>
      <c r="K45" s="119"/>
      <c r="L45" s="119"/>
      <c r="M45" s="119"/>
      <c r="N45" s="170"/>
      <c r="O45" s="169"/>
      <c r="P45" s="171"/>
    </row>
    <row r="46" spans="1:16" ht="13.5" hidden="1" thickBot="1">
      <c r="A46" s="27"/>
      <c r="B46" s="11"/>
      <c r="C46" s="11"/>
      <c r="D46" s="11"/>
      <c r="E46" s="11"/>
      <c r="F46" s="11"/>
      <c r="G46" s="81"/>
      <c r="H46" s="179">
        <f>183408.6558-H44</f>
        <v>4.0745362639427185E-09</v>
      </c>
      <c r="I46" s="180"/>
      <c r="J46" s="172"/>
      <c r="K46" s="120"/>
      <c r="L46" s="120"/>
      <c r="M46" s="120"/>
      <c r="N46" s="173"/>
      <c r="O46" s="172"/>
      <c r="P46" s="174"/>
    </row>
    <row r="47" spans="1:16" ht="12.75" hidden="1">
      <c r="A47" s="28" t="s">
        <v>10</v>
      </c>
      <c r="B47" s="12">
        <v>101493.91</v>
      </c>
      <c r="C47" s="52">
        <f>68170.5*0+175017.41625-0.41625-5344/5344*99045.09887+0.09887</f>
        <v>75972</v>
      </c>
      <c r="D47" s="53">
        <f>61533.57*12/10-3840.284-70000+188293.94315+0.05685-5344/5344*101722.48561-5342/5342*853.425-0.0894</f>
        <v>85717.99999</v>
      </c>
      <c r="E47" s="53">
        <f>D47*1.02-87432.3599898+187453.34986-0.34986-5345/5345*100753.13461-5342/5342*849.955+0.08961</f>
        <v>85850</v>
      </c>
      <c r="F47" s="53">
        <f>E47*1.02-87567+203559.05282-0.05282-5345/5345*111373.85775-5342/5342*831.775-0.36725*0+0.63275</f>
        <v>91354.00000000001</v>
      </c>
      <c r="G47" s="82">
        <f>F47*1.02+0.44*0-0.08-93181+192989.5-5345/5345*105153</f>
        <v>87836.5</v>
      </c>
      <c r="H47" s="139">
        <f>F47*1.02+0.44*0-0.08-93181+(251086.07965-156725.35565)</f>
        <v>94360.724</v>
      </c>
      <c r="I47" s="139">
        <f>H47*1.02+0.3*0+0.38-96248.31848+(218797.45931-121244.60628)</f>
        <v>97552.85303</v>
      </c>
      <c r="J47" s="175">
        <f>(H47*0+I47)*1.02-0.42*0+0.1*0</f>
        <v>99503.9100906</v>
      </c>
      <c r="K47" s="175">
        <f>(I47*0+J47)*1.02-0.42*0+0.1*0-101493.98829+75843</f>
        <v>75843.00000241201</v>
      </c>
      <c r="L47" s="53">
        <f>K47*1.02+0.08*0+0.14</f>
        <v>77360.00000246025</v>
      </c>
      <c r="M47" s="53">
        <f>L47*1.02+0.3*0-0.2</f>
        <v>78907.00000250946</v>
      </c>
      <c r="N47" s="176">
        <f>M47*1.02-0.26*0-0.14</f>
        <v>80485.00000255965</v>
      </c>
      <c r="O47" s="175">
        <f>N47*1.02-0.26*0+0.3</f>
        <v>82095.00000261085</v>
      </c>
      <c r="P47" s="177">
        <f>O47*1.02-0.26*0+0.1</f>
        <v>83737.00000266307</v>
      </c>
    </row>
    <row r="48" spans="1:16" ht="24" customHeight="1" hidden="1">
      <c r="A48" s="23" t="s">
        <v>11</v>
      </c>
      <c r="B48" s="13">
        <v>40939.92</v>
      </c>
      <c r="C48" s="54">
        <f>27827.4*0+29837.50676+0.49324</f>
        <v>29838</v>
      </c>
      <c r="D48" s="55">
        <f>23243.38*12/10-21494.056-6398+20982.54748+0.45252</f>
        <v>20983</v>
      </c>
      <c r="E48" s="46">
        <f>D48*1.02-155+0.04-21247.7+20518.40996+0.59004</f>
        <v>20519</v>
      </c>
      <c r="F48" s="46">
        <f>E48*1.02-155.42-20773.96+32832.22895-0.22895</f>
        <v>32832.00000000001</v>
      </c>
      <c r="G48" s="76">
        <f>F48*1.02-156.86*0+0.36-33489+34393</f>
        <v>34393.00000000001</v>
      </c>
      <c r="H48" s="157">
        <f>F48*1.02-156.86*0+0.36+743-34232+78740.32723</f>
        <v>78740.32723</v>
      </c>
      <c r="I48" s="157">
        <f>H48*1.02-157.26*0+0.22-155.86-80159.4937746+33846.42806</f>
        <v>33846.428059999984</v>
      </c>
      <c r="J48" s="160">
        <f>(H48*0+I48)*1.02+(-156.64+0.46-0.04)*0-177</f>
        <v>34346.356621199986</v>
      </c>
      <c r="K48" s="160">
        <f>(I48*0+J48)*1.02+(-156.64+0.46-0.04)*0-177-34856.283753624+11851</f>
        <v>11850.999999999993</v>
      </c>
      <c r="L48" s="55">
        <f>K48*1.02+(0.28-158.28)*0-179.46*0-216.02</f>
        <v>11871.999999999993</v>
      </c>
      <c r="M48" s="55">
        <f>L48*1.02+(0.4-157.36)*0-178.88*0-215.44</f>
        <v>11893.999999999993</v>
      </c>
      <c r="N48" s="161">
        <f>M48*1.02+(0.24-158.4)*0-180.32*0-217.88</f>
        <v>11913.999999999993</v>
      </c>
      <c r="O48" s="160">
        <f>N48*1.02+(0.24-158.4)*0-180.32*0-219.28</f>
        <v>11932.999999999993</v>
      </c>
      <c r="P48" s="162">
        <f>O48*1.02+(0.24-158.4)*0-180.32*0-219.66</f>
        <v>11951.999999999993</v>
      </c>
    </row>
    <row r="49" spans="1:16" ht="13.5" hidden="1" thickBot="1">
      <c r="A49" s="26" t="s">
        <v>12</v>
      </c>
      <c r="B49" s="7">
        <f aca="true" t="shared" si="6" ref="B49:P49">B47+B48</f>
        <v>142433.83000000002</v>
      </c>
      <c r="C49" s="7">
        <f t="shared" si="6"/>
        <v>105810</v>
      </c>
      <c r="D49" s="7">
        <f t="shared" si="6"/>
        <v>106700.99999</v>
      </c>
      <c r="E49" s="7">
        <f t="shared" si="6"/>
        <v>106369</v>
      </c>
      <c r="F49" s="7">
        <f t="shared" si="6"/>
        <v>124186.00000000003</v>
      </c>
      <c r="G49" s="78">
        <f t="shared" si="6"/>
        <v>122229.5</v>
      </c>
      <c r="H49" s="31">
        <f t="shared" si="6"/>
        <v>173101.05122999998</v>
      </c>
      <c r="I49" s="137">
        <f t="shared" si="6"/>
        <v>131399.28108999997</v>
      </c>
      <c r="J49" s="166">
        <f t="shared" si="6"/>
        <v>133850.26671179998</v>
      </c>
      <c r="K49" s="166">
        <f t="shared" si="6"/>
        <v>87694.00000241201</v>
      </c>
      <c r="L49" s="49">
        <f t="shared" si="6"/>
        <v>89232.00000246023</v>
      </c>
      <c r="M49" s="49">
        <f t="shared" si="6"/>
        <v>90801.00000250945</v>
      </c>
      <c r="N49" s="167">
        <f t="shared" si="6"/>
        <v>92399.00000255965</v>
      </c>
      <c r="O49" s="166">
        <f t="shared" si="6"/>
        <v>94028.00000261085</v>
      </c>
      <c r="P49" s="168">
        <f t="shared" si="6"/>
        <v>95689.00000266306</v>
      </c>
    </row>
    <row r="50" spans="1:16" ht="4.5" customHeight="1" hidden="1">
      <c r="A50" s="3"/>
      <c r="B50" s="4"/>
      <c r="C50" s="44"/>
      <c r="D50" s="44"/>
      <c r="E50" s="45"/>
      <c r="F50" s="58"/>
      <c r="G50" s="75"/>
      <c r="H50" s="45"/>
      <c r="I50" s="100"/>
      <c r="J50" s="134"/>
      <c r="K50" s="65"/>
      <c r="L50" s="65"/>
      <c r="M50" s="65"/>
      <c r="N50" s="108"/>
      <c r="O50" s="134"/>
      <c r="P50" s="146"/>
    </row>
    <row r="51" spans="1:16" ht="12.75" hidden="1">
      <c r="A51" s="24"/>
      <c r="B51" s="14"/>
      <c r="C51" s="14"/>
      <c r="D51" s="14"/>
      <c r="E51" s="14"/>
      <c r="F51" s="14"/>
      <c r="G51" s="83"/>
      <c r="H51" s="158">
        <f>329826.40688-157555.92365-H49+107/107*5342/5342*830.568*0</f>
        <v>-830.5679999999702</v>
      </c>
      <c r="I51" s="158">
        <f>252643.88737-121244.60628-I49+107/107*5342/5342*830.568*0*0</f>
        <v>2.9103830456733704E-11</v>
      </c>
      <c r="J51" s="140"/>
      <c r="K51" s="92"/>
      <c r="L51" s="92"/>
      <c r="M51" s="92"/>
      <c r="N51" s="128"/>
      <c r="O51" s="140"/>
      <c r="P51" s="149"/>
    </row>
    <row r="52" spans="1:16" s="35" customFormat="1" ht="24" hidden="1" thickBot="1">
      <c r="A52" s="34" t="s">
        <v>16</v>
      </c>
      <c r="B52" s="15">
        <f aca="true" t="shared" si="7" ref="B52:P52">B44-B49</f>
        <v>-20410.020000000004</v>
      </c>
      <c r="C52" s="15">
        <f t="shared" si="7"/>
        <v>-9875</v>
      </c>
      <c r="D52" s="15">
        <f t="shared" si="7"/>
        <v>-14272</v>
      </c>
      <c r="E52" s="15">
        <f t="shared" si="7"/>
        <v>3398.9999997999985</v>
      </c>
      <c r="F52" s="15">
        <f t="shared" si="7"/>
        <v>879.9999999959837</v>
      </c>
      <c r="G52" s="84">
        <f t="shared" si="7"/>
        <v>-4.0745362639427185E-09</v>
      </c>
      <c r="H52" s="15">
        <f t="shared" si="7"/>
        <v>10307.60456999595</v>
      </c>
      <c r="I52" s="15">
        <f t="shared" si="7"/>
        <v>906.2349948958727</v>
      </c>
      <c r="J52" s="141">
        <f t="shared" si="7"/>
        <v>899.0776255982637</v>
      </c>
      <c r="K52" s="105">
        <f t="shared" si="7"/>
        <v>-2.807268174365163E-06</v>
      </c>
      <c r="L52" s="105">
        <f t="shared" si="7"/>
        <v>-2.8525828383862972E-06</v>
      </c>
      <c r="M52" s="105">
        <f t="shared" si="7"/>
        <v>-2.8987706173211336E-06</v>
      </c>
      <c r="N52" s="129">
        <f t="shared" si="7"/>
        <v>-2.9458460630849004E-06</v>
      </c>
      <c r="O52" s="141">
        <f t="shared" si="7"/>
        <v>-2.993794623762369E-06</v>
      </c>
      <c r="P52" s="150">
        <f t="shared" si="7"/>
        <v>-3.04261629935354E-06</v>
      </c>
    </row>
    <row r="53" spans="1:16" ht="12.75" hidden="1">
      <c r="A53" s="29" t="s">
        <v>15</v>
      </c>
      <c r="B53" s="8"/>
      <c r="C53" s="22">
        <f>3735.4+1479.2+3415.8+(577.9)+2004/2004*3272.8</f>
        <v>12481.100000000002</v>
      </c>
      <c r="D53" s="56">
        <f>8/8*14426.97605-0.07605+0.1</f>
        <v>14427</v>
      </c>
      <c r="E53" s="57">
        <f>8/8*-(3399.12486-0.12486)</f>
        <v>-3399</v>
      </c>
      <c r="F53" s="57">
        <f>8/8*-(880.09755-0.09755)</f>
        <v>-880</v>
      </c>
      <c r="G53" s="79"/>
      <c r="H53" s="159">
        <f>11138.17257-H52+H51</f>
        <v>4.079993232153356E-09</v>
      </c>
      <c r="I53" s="159">
        <f>906.235-I52+I51</f>
        <v>5.1041564574916265E-06</v>
      </c>
      <c r="J53" s="138"/>
      <c r="K53" s="91"/>
      <c r="L53" s="91"/>
      <c r="M53" s="91"/>
      <c r="N53" s="110"/>
      <c r="O53" s="138"/>
      <c r="P53" s="148"/>
    </row>
    <row r="54" spans="1:16" ht="24" hidden="1">
      <c r="A54" s="23" t="s">
        <v>13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85">
        <v>0</v>
      </c>
      <c r="H54" s="17">
        <v>0</v>
      </c>
      <c r="I54" s="101">
        <v>0</v>
      </c>
      <c r="J54" s="142">
        <v>0</v>
      </c>
      <c r="K54" s="94">
        <v>0</v>
      </c>
      <c r="L54" s="94">
        <v>0</v>
      </c>
      <c r="M54" s="94">
        <v>0</v>
      </c>
      <c r="N54" s="130">
        <v>0</v>
      </c>
      <c r="O54" s="142">
        <v>0</v>
      </c>
      <c r="P54" s="151">
        <v>0</v>
      </c>
    </row>
    <row r="55" spans="1:16" ht="4.5" customHeight="1" hidden="1">
      <c r="A55" s="23"/>
      <c r="B55" s="18"/>
      <c r="C55" s="18"/>
      <c r="D55" s="18"/>
      <c r="E55" s="18"/>
      <c r="F55" s="18"/>
      <c r="G55" s="86"/>
      <c r="H55" s="18"/>
      <c r="I55" s="32"/>
      <c r="J55" s="135"/>
      <c r="K55" s="90"/>
      <c r="L55" s="90"/>
      <c r="M55" s="90"/>
      <c r="N55" s="127"/>
      <c r="O55" s="135"/>
      <c r="P55" s="147"/>
    </row>
    <row r="56" spans="1:16" ht="24" hidden="1">
      <c r="A56" s="23" t="s">
        <v>17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86">
        <v>0</v>
      </c>
      <c r="H56" s="18">
        <v>0</v>
      </c>
      <c r="I56" s="32">
        <v>0</v>
      </c>
      <c r="J56" s="135">
        <v>0</v>
      </c>
      <c r="K56" s="90">
        <v>0</v>
      </c>
      <c r="L56" s="90">
        <v>0</v>
      </c>
      <c r="M56" s="90">
        <v>0</v>
      </c>
      <c r="N56" s="127">
        <v>0</v>
      </c>
      <c r="O56" s="135">
        <v>0</v>
      </c>
      <c r="P56" s="147">
        <v>0</v>
      </c>
    </row>
    <row r="57" spans="1:16" ht="4.5" customHeight="1" hidden="1" thickBot="1">
      <c r="A57" s="24"/>
      <c r="B57" s="19"/>
      <c r="C57" s="19"/>
      <c r="D57" s="19"/>
      <c r="E57" s="19"/>
      <c r="F57" s="20"/>
      <c r="G57" s="87"/>
      <c r="H57" s="19"/>
      <c r="I57" s="102"/>
      <c r="J57" s="143"/>
      <c r="K57" s="95"/>
      <c r="L57" s="95"/>
      <c r="M57" s="95"/>
      <c r="N57" s="131"/>
      <c r="O57" s="143"/>
      <c r="P57" s="152"/>
    </row>
    <row r="58" spans="1:16" ht="23.25" hidden="1" thickBot="1">
      <c r="A58" s="30" t="s">
        <v>14</v>
      </c>
      <c r="B58" s="15">
        <f>0</f>
        <v>0</v>
      </c>
      <c r="C58" s="15">
        <f>0</f>
        <v>0</v>
      </c>
      <c r="D58" s="15">
        <v>0</v>
      </c>
      <c r="E58" s="15">
        <v>0</v>
      </c>
      <c r="F58" s="15">
        <v>0</v>
      </c>
      <c r="G58" s="84">
        <v>0</v>
      </c>
      <c r="H58" s="15">
        <v>0</v>
      </c>
      <c r="I58" s="103">
        <v>0</v>
      </c>
      <c r="J58" s="144">
        <v>0</v>
      </c>
      <c r="K58" s="93">
        <v>0</v>
      </c>
      <c r="L58" s="93">
        <v>0</v>
      </c>
      <c r="M58" s="93">
        <v>0</v>
      </c>
      <c r="N58" s="132">
        <v>0</v>
      </c>
      <c r="O58" s="144">
        <v>0</v>
      </c>
      <c r="P58" s="153">
        <v>0</v>
      </c>
    </row>
    <row r="59" ht="12.75" hidden="1"/>
    <row r="60" ht="12.75" hidden="1"/>
    <row r="61" ht="12.75" hidden="1"/>
    <row r="62" ht="12.75" hidden="1"/>
    <row r="63" ht="12.75" hidden="1"/>
    <row r="64" spans="1:16" ht="15.75">
      <c r="A64" s="189" t="s">
        <v>43</v>
      </c>
      <c r="B64" s="2"/>
      <c r="C64" s="42"/>
      <c r="D64" s="42"/>
      <c r="E64" s="42"/>
      <c r="F64" s="42"/>
      <c r="G64" s="72"/>
      <c r="P64" s="181"/>
    </row>
    <row r="65" spans="11:16" ht="13.5" thickBot="1">
      <c r="K65" s="43" t="s">
        <v>21</v>
      </c>
      <c r="L65" s="43" t="s">
        <v>21</v>
      </c>
      <c r="M65" s="43" t="s">
        <v>21</v>
      </c>
      <c r="O65" s="43"/>
      <c r="P65" s="43" t="s">
        <v>0</v>
      </c>
    </row>
    <row r="66" spans="1:16" s="39" customFormat="1" ht="45" customHeight="1" thickBot="1">
      <c r="A66" s="37" t="s">
        <v>1</v>
      </c>
      <c r="B66" s="38" t="s">
        <v>2</v>
      </c>
      <c r="C66" s="88" t="s">
        <v>23</v>
      </c>
      <c r="D66" s="88" t="s">
        <v>24</v>
      </c>
      <c r="E66" s="88" t="s">
        <v>25</v>
      </c>
      <c r="F66" s="88" t="s">
        <v>26</v>
      </c>
      <c r="G66" s="74" t="s">
        <v>22</v>
      </c>
      <c r="H66" s="194" t="s">
        <v>34</v>
      </c>
      <c r="I66" s="195" t="s">
        <v>36</v>
      </c>
      <c r="J66" s="195" t="s">
        <v>44</v>
      </c>
      <c r="K66" s="194" t="s">
        <v>35</v>
      </c>
      <c r="L66" s="194" t="s">
        <v>18</v>
      </c>
      <c r="M66" s="194" t="s">
        <v>19</v>
      </c>
      <c r="N66" s="196" t="s">
        <v>20</v>
      </c>
      <c r="O66" s="194" t="s">
        <v>32</v>
      </c>
      <c r="P66" s="197" t="s">
        <v>33</v>
      </c>
    </row>
    <row r="67" spans="1:16" ht="4.5" customHeight="1">
      <c r="A67" s="3"/>
      <c r="B67" s="4"/>
      <c r="C67" s="44"/>
      <c r="D67" s="44"/>
      <c r="E67" s="45"/>
      <c r="F67" s="58"/>
      <c r="G67" s="75"/>
      <c r="H67" s="190"/>
      <c r="I67" s="191"/>
      <c r="J67" s="191"/>
      <c r="K67" s="190"/>
      <c r="L67" s="190"/>
      <c r="M67" s="190"/>
      <c r="N67" s="192"/>
      <c r="O67" s="190"/>
      <c r="P67" s="198"/>
    </row>
    <row r="68" spans="1:16" ht="24">
      <c r="A68" s="23" t="s">
        <v>4</v>
      </c>
      <c r="B68" s="5">
        <f>10/10*10987.6</f>
        <v>10987.6</v>
      </c>
      <c r="C68" s="40">
        <f>10/10*10259.9*0+(10546.603+0.397)</f>
        <v>10547</v>
      </c>
      <c r="D68" s="46">
        <f>C68*1.005-0.1995-10599.5355+11091.21231-0.21231</f>
        <v>11090.999999999998</v>
      </c>
      <c r="E68" s="46">
        <f>D68*1.005+0.445-11146.9+11189.1408-0.1408</f>
        <v>11188.999999999996</v>
      </c>
      <c r="F68" s="46">
        <f>E68*1.005+0.185-11245.13+10321.78706+0.21294</f>
        <v>10321.999999999995</v>
      </c>
      <c r="G68" s="76">
        <f>F68*1.005-0.075*0+0.39-10374+10818</f>
        <v>10817.999999999993</v>
      </c>
      <c r="H68" s="67">
        <f>F68*1.005-0.075*0+0.39-10374+10122.21594</f>
        <v>10122.215939999993</v>
      </c>
      <c r="I68" s="67">
        <f>H68*1.005-0.335*0+0.13-10172.95702+13585.47128</f>
        <v>13585.47127969999</v>
      </c>
      <c r="J68" s="18">
        <f>(H68*0+I68)*1.005+0.405*0-0.13*0+0.5</f>
        <v>13653.898636098489</v>
      </c>
      <c r="K68" s="18">
        <f>(I68*0+J68)*1.005+0.405*0-0.13*0+0.5-13722.66813+14400</f>
        <v>14399.99999927898</v>
      </c>
      <c r="L68" s="18">
        <f>K68*1.005-0.39*0</f>
        <v>14471.999999275373</v>
      </c>
      <c r="M68" s="18">
        <f>L68*1.005+0.35*0+0.64</f>
        <v>14544.999999271748</v>
      </c>
      <c r="N68" s="199">
        <f>M68*1.005+0.085*0+0.275</f>
        <v>14617.999999268104</v>
      </c>
      <c r="O68" s="18">
        <f>N68*1.005+0.085*0-0.09</f>
        <v>14690.999999264443</v>
      </c>
      <c r="P68" s="200">
        <f>O68*1.005+0.085*0+0.545</f>
        <v>14764.999999260763</v>
      </c>
    </row>
    <row r="69" spans="1:16" ht="24">
      <c r="A69" s="23" t="s">
        <v>5</v>
      </c>
      <c r="B69" s="5">
        <f>5/5*1341.03+6/6*1150.47+8/8*105.09+9/9*9204+10/10*-2609.06</f>
        <v>9191.53</v>
      </c>
      <c r="C69" s="40">
        <f>(5/5*1464+6/6*205+8/8*220+9/9*1700+10/10*-2922.8-666.2)+(1985.1864-0.1864)</f>
        <v>1984.9999999999998</v>
      </c>
      <c r="D69" s="46">
        <f>(C69+2004/2004*3272.8)*1.02+0.22-5363.176+3962.98819+0.01181</f>
        <v>3963</v>
      </c>
      <c r="E69" s="46">
        <f>D69*1.02-0.36-4041.9+4738.37904-0.37904*0+0.62096</f>
        <v>4739</v>
      </c>
      <c r="F69" s="46">
        <f>E69*1.02+0.04-4833.82+5707.70721+(0.29279-0.70721*0)</f>
        <v>5708</v>
      </c>
      <c r="G69" s="76">
        <f>F69*1.02+0.4*0-0.16-5822+1800+2122/2122*2000*0</f>
        <v>1800</v>
      </c>
      <c r="H69" s="67">
        <f>F69*1.02+0.4*0-0.16-5822+3233.0081</f>
        <v>3233.0081</v>
      </c>
      <c r="I69" s="67">
        <f>H69*1.02-0.28*0-0.44-3297.228262+3735.47641</f>
        <v>3735.47641</v>
      </c>
      <c r="J69" s="18">
        <f>(H69*0+I69)*1.02+0.02*0+0.24*0+0.4</f>
        <v>3810.5859382000003</v>
      </c>
      <c r="K69" s="18">
        <f>(I69*0+J69)*1.02+0.02*0+0.24*0+0.4-3887.197657+13265</f>
        <v>13264.999999964</v>
      </c>
      <c r="L69" s="18">
        <f>K69*1.02-0.14*0-0.3</f>
        <v>13529.999999963282</v>
      </c>
      <c r="M69" s="18">
        <f>L69*1.02+0.44*0+0.4</f>
        <v>13800.999999962547</v>
      </c>
      <c r="N69" s="199">
        <f>M69*1.02-0.04*0-0.02</f>
        <v>14076.999999961798</v>
      </c>
      <c r="O69" s="18">
        <f>N69*1.02-0.04*0+0.46</f>
        <v>14358.999999961034</v>
      </c>
      <c r="P69" s="200">
        <f>O69*1.02-0.04*0-0.18</f>
        <v>14645.999999960255</v>
      </c>
    </row>
    <row r="70" spans="1:16" ht="24">
      <c r="A70" s="25" t="s">
        <v>6</v>
      </c>
      <c r="B70" s="5">
        <v>0</v>
      </c>
      <c r="C70" s="5">
        <v>0</v>
      </c>
      <c r="D70" s="47">
        <f>0+380</f>
        <v>380</v>
      </c>
      <c r="E70" s="48">
        <v>0</v>
      </c>
      <c r="F70" s="59">
        <v>0</v>
      </c>
      <c r="G70" s="77">
        <v>0</v>
      </c>
      <c r="H70" s="48">
        <f>0+250</f>
        <v>250</v>
      </c>
      <c r="I70" s="59">
        <v>0</v>
      </c>
      <c r="J70" s="48">
        <v>0</v>
      </c>
      <c r="K70" s="48">
        <v>0</v>
      </c>
      <c r="L70" s="48">
        <v>0</v>
      </c>
      <c r="M70" s="48">
        <v>0</v>
      </c>
      <c r="N70" s="59">
        <v>0</v>
      </c>
      <c r="O70" s="48">
        <v>0</v>
      </c>
      <c r="P70" s="201">
        <v>0</v>
      </c>
    </row>
    <row r="71" spans="1:16" ht="13.5" thickBot="1">
      <c r="A71" s="26" t="s">
        <v>7</v>
      </c>
      <c r="B71" s="7">
        <f aca="true" t="shared" si="8" ref="B71:P71">SUM(B68:B70)</f>
        <v>20179.13</v>
      </c>
      <c r="C71" s="7">
        <f t="shared" si="8"/>
        <v>12532</v>
      </c>
      <c r="D71" s="7">
        <f t="shared" si="8"/>
        <v>15433.999999999998</v>
      </c>
      <c r="E71" s="7">
        <f t="shared" si="8"/>
        <v>15927.999999999996</v>
      </c>
      <c r="F71" s="7">
        <f t="shared" si="8"/>
        <v>16029.999999999995</v>
      </c>
      <c r="G71" s="78">
        <f t="shared" si="8"/>
        <v>12617.999999999993</v>
      </c>
      <c r="H71" s="193">
        <f t="shared" si="8"/>
        <v>13605.224039999994</v>
      </c>
      <c r="I71" s="193">
        <f t="shared" si="8"/>
        <v>17320.94768969999</v>
      </c>
      <c r="J71" s="193">
        <f t="shared" si="8"/>
        <v>17464.48457429849</v>
      </c>
      <c r="K71" s="193">
        <f t="shared" si="8"/>
        <v>27664.99999924298</v>
      </c>
      <c r="L71" s="193">
        <f t="shared" si="8"/>
        <v>28001.999999238655</v>
      </c>
      <c r="M71" s="193">
        <f t="shared" si="8"/>
        <v>28345.999999234293</v>
      </c>
      <c r="N71" s="202">
        <f t="shared" si="8"/>
        <v>28694.9999992299</v>
      </c>
      <c r="O71" s="193">
        <f t="shared" si="8"/>
        <v>29049.999999225474</v>
      </c>
      <c r="P71" s="203">
        <f t="shared" si="8"/>
        <v>29410.999999221018</v>
      </c>
    </row>
    <row r="72" spans="1:16" ht="4.5" customHeight="1">
      <c r="A72" s="3"/>
      <c r="B72" s="4"/>
      <c r="C72" s="44"/>
      <c r="D72" s="44"/>
      <c r="E72" s="45"/>
      <c r="F72" s="58"/>
      <c r="G72" s="75"/>
      <c r="H72" s="190"/>
      <c r="I72" s="192"/>
      <c r="J72" s="190"/>
      <c r="K72" s="190"/>
      <c r="L72" s="190"/>
      <c r="M72" s="190"/>
      <c r="N72" s="192"/>
      <c r="O72" s="190"/>
      <c r="P72" s="198"/>
    </row>
    <row r="73" spans="1:16" ht="24">
      <c r="A73" s="25" t="s">
        <v>8</v>
      </c>
      <c r="B73" s="5">
        <f>1/1*13900+2/2*10806+3/3*1200+4/4*20231+5/5*2096.48+6/6*42+7/7*84+8/8*150.69+9/9*875.4+10/10*52459.11</f>
        <v>101844.68000000001</v>
      </c>
      <c r="C73" s="40">
        <f>(1/1*0+2/2*850+3/3*1350+4/4*8889.8+5/5*568.8+6/6*5040.3+7/7*53+8/8*3836.5+9/9*439.4+10/10*51562.8-72590.6)+182448.31568-0.31568-4134/4134*99045.09887+0.09887</f>
        <v>83403</v>
      </c>
      <c r="D73" s="47">
        <f>(1/1*0+2/2*850+3/3*1350+4/4*8889.8+5/5*568.8+6/6*5040.3+7/7*53+8/8*3836.5+9/9*439.4)*0+(4/4*3000+6/6*3000+8/8*2500+9/9*500)+10/10*(16836+24233+9021/9021*12000)-62069+179416.21408-0.21408-4134/4134*102421.25061+0.2506</f>
        <v>76994.99999</v>
      </c>
      <c r="E73" s="46">
        <f>D73*1.02-0.38-78534.51999+195443.36484-0.36484-4134/4134*101603.08961+0.08961</f>
        <v>93839.9999998</v>
      </c>
      <c r="F73" s="46">
        <f>E73*1.02-0.2-95716.5999998+221241.88505+0.11495-4134/4134*(112205.63275+0.36725)</f>
        <v>109035.99999999601</v>
      </c>
      <c r="G73" s="76">
        <f>F73*1.02-0.52*0+0.28-111217+214764.5-4234/4234*105153</f>
        <v>109611.49999999593</v>
      </c>
      <c r="H73" s="67">
        <f>F73*1.02-0.52*0+0.28-111217+411/411*38744.497+421/421*4950+412/412*40958.93476+422/422*21500+413/413*63650</f>
        <v>169803.43175999593</v>
      </c>
      <c r="I73" s="67">
        <f>H73*1.02+0.66-173200.1604+411/411*46255.3+412/412*46666.35628+422/422*15000+413/413*7000+415/415*62.91212</f>
        <v>114984.56839519585</v>
      </c>
      <c r="J73" s="18">
        <f>(H73*0+I73)*1.02+0.3*0+0.16*0+0.6</f>
        <v>117284.85976309977</v>
      </c>
      <c r="K73" s="18">
        <f>(I73*0+J73)*1.02+0.3*0+0.16*0+0.6-119631.156958+(411/411*16653+412/412*(31120*0+17022011/17022011*29049)+413/413*12256)</f>
        <v>57958.00000036176</v>
      </c>
      <c r="L73" s="18">
        <f>K73*1.02-0.22*0+0.42*0-0.16</f>
        <v>59117.00000036899</v>
      </c>
      <c r="M73" s="18">
        <f>L73*1.02+0.5*0+0.4*0-0.34</f>
        <v>60299.00000037638</v>
      </c>
      <c r="N73" s="199">
        <f>M73*1.02+0.28*0-0.1*0+0.02</f>
        <v>61505.0000003839</v>
      </c>
      <c r="O73" s="18">
        <f>N73*1.02+0.28*0-0.08*0-0.1</f>
        <v>62735.000000391585</v>
      </c>
      <c r="P73" s="200">
        <f>O73*1.02+0.28*0+0.44*0+0.3</f>
        <v>63990.00000039942</v>
      </c>
    </row>
    <row r="74" spans="1:16" ht="13.5" thickBot="1">
      <c r="A74" s="26" t="s">
        <v>9</v>
      </c>
      <c r="B74" s="7">
        <f aca="true" t="shared" si="9" ref="B74:P74">B71+B73</f>
        <v>122023.81000000001</v>
      </c>
      <c r="C74" s="49">
        <f t="shared" si="9"/>
        <v>95935</v>
      </c>
      <c r="D74" s="7">
        <f t="shared" si="9"/>
        <v>92428.99999</v>
      </c>
      <c r="E74" s="7">
        <f t="shared" si="9"/>
        <v>109767.9999998</v>
      </c>
      <c r="F74" s="7">
        <f t="shared" si="9"/>
        <v>125065.99999999601</v>
      </c>
      <c r="G74" s="78">
        <f t="shared" si="9"/>
        <v>122229.49999999593</v>
      </c>
      <c r="H74" s="193">
        <f t="shared" si="9"/>
        <v>183408.65579999593</v>
      </c>
      <c r="I74" s="193">
        <f t="shared" si="9"/>
        <v>132305.51608489585</v>
      </c>
      <c r="J74" s="193">
        <f t="shared" si="9"/>
        <v>134749.34433739824</v>
      </c>
      <c r="K74" s="193">
        <f t="shared" si="9"/>
        <v>85622.99999960474</v>
      </c>
      <c r="L74" s="193">
        <f t="shared" si="9"/>
        <v>87118.99999960765</v>
      </c>
      <c r="M74" s="193">
        <f t="shared" si="9"/>
        <v>88644.99999961068</v>
      </c>
      <c r="N74" s="202">
        <f t="shared" si="9"/>
        <v>90199.9999996138</v>
      </c>
      <c r="O74" s="193">
        <f t="shared" si="9"/>
        <v>91784.99999961705</v>
      </c>
      <c r="P74" s="203">
        <f t="shared" si="9"/>
        <v>93400.99999962044</v>
      </c>
    </row>
    <row r="75" spans="1:16" ht="12.75">
      <c r="A75" s="27"/>
      <c r="B75" s="10"/>
      <c r="C75" s="50"/>
      <c r="D75" s="51"/>
      <c r="E75" s="51"/>
      <c r="F75" s="51"/>
      <c r="G75" s="80"/>
      <c r="H75" s="204">
        <f>340964.57945-157555.92365-H74</f>
        <v>4.0745362639427185E-09</v>
      </c>
      <c r="I75" s="204">
        <f>253550.12237-121244.60628-I74</f>
        <v>5.104142474010587E-06</v>
      </c>
      <c r="J75" s="205"/>
      <c r="K75" s="205"/>
      <c r="L75" s="205"/>
      <c r="M75" s="205"/>
      <c r="N75" s="51"/>
      <c r="O75" s="205"/>
      <c r="P75" s="206"/>
    </row>
    <row r="76" spans="1:16" ht="13.5" thickBot="1">
      <c r="A76" s="27"/>
      <c r="B76" s="11"/>
      <c r="C76" s="11"/>
      <c r="D76" s="11"/>
      <c r="E76" s="11"/>
      <c r="F76" s="11"/>
      <c r="G76" s="81"/>
      <c r="H76" s="68">
        <f>183408.6558-H74</f>
        <v>4.0745362639427185E-09</v>
      </c>
      <c r="I76" s="68"/>
      <c r="J76" s="207"/>
      <c r="K76" s="207"/>
      <c r="L76" s="207"/>
      <c r="M76" s="207"/>
      <c r="N76" s="68"/>
      <c r="O76" s="207"/>
      <c r="P76" s="208"/>
    </row>
    <row r="77" spans="1:16" ht="12.75">
      <c r="A77" s="28" t="s">
        <v>10</v>
      </c>
      <c r="B77" s="12">
        <v>101493.91</v>
      </c>
      <c r="C77" s="52">
        <f>68170.5*0+175017.41625-0.41625-5344/5344*99045.09887+0.09887</f>
        <v>75972</v>
      </c>
      <c r="D77" s="53">
        <f>61533.57*12/10-3840.284-70000+188293.94315+0.05685-5344/5344*101722.48561-5342/5342*853.425-0.0894</f>
        <v>85717.99999</v>
      </c>
      <c r="E77" s="53">
        <f>D77*1.02-87432.3599898+187453.34986-0.34986-5345/5345*100753.13461-5342/5342*849.955+0.08961</f>
        <v>85850</v>
      </c>
      <c r="F77" s="53">
        <f>E77*1.02-87567+203559.05282-0.05282-5345/5345*111373.85775-5342/5342*831.775-0.36725*0+0.63275</f>
        <v>91354.00000000001</v>
      </c>
      <c r="G77" s="82">
        <f>F77*1.02+0.44*0-0.08-93181+192989.5-5345/5345*105153</f>
        <v>87836.5</v>
      </c>
      <c r="H77" s="69">
        <f>F77*1.02+0.44*0-0.08-93181+(251086.07965-156725.35565)</f>
        <v>94360.724</v>
      </c>
      <c r="I77" s="69">
        <f>H77*1.02+0.3*0+0.38-96248.31848+(218797.45931-121244.60628)</f>
        <v>97552.85303</v>
      </c>
      <c r="J77" s="69">
        <f>(H77*0+I77)*1.02-0.42*0+0.1*0</f>
        <v>99503.9100906</v>
      </c>
      <c r="K77" s="69">
        <f>(I77*0+J77)*1.02-0.42*0+0.1*0-101493.98829+(75843-2071)</f>
        <v>73772.00000241201</v>
      </c>
      <c r="L77" s="69">
        <f>K77*1.02+0.08*0+(0.14*0-0.44)</f>
        <v>75247.00000246025</v>
      </c>
      <c r="M77" s="69">
        <f>L77*1.02+0.3*0+(-0.2*0-0.94)</f>
        <v>76751.00000250945</v>
      </c>
      <c r="N77" s="209">
        <f>M77*1.02-0.26*0+(-0.14*0-0.02)</f>
        <v>78286.00000255964</v>
      </c>
      <c r="O77" s="69">
        <f>N77*1.02-0.26*0+(0.3*0+0.28)</f>
        <v>79852.00000261083</v>
      </c>
      <c r="P77" s="210">
        <f>O77*1.02-0.26*0+(0.1*0-0.04)</f>
        <v>81449.00000266306</v>
      </c>
    </row>
    <row r="78" spans="1:16" ht="24" customHeight="1">
      <c r="A78" s="23" t="s">
        <v>11</v>
      </c>
      <c r="B78" s="13">
        <v>40939.92</v>
      </c>
      <c r="C78" s="54">
        <f>27827.4*0+29837.50676+0.49324</f>
        <v>29838</v>
      </c>
      <c r="D78" s="55">
        <f>23243.38*12/10-21494.056-6398+20982.54748+0.45252</f>
        <v>20983</v>
      </c>
      <c r="E78" s="46">
        <f>D78*1.02-155+0.04-21247.7+20518.40996+0.59004</f>
        <v>20519</v>
      </c>
      <c r="F78" s="46">
        <f>E78*1.02-155.42-20773.96+32832.22895-0.22895</f>
        <v>32832.00000000001</v>
      </c>
      <c r="G78" s="76">
        <f>F78*1.02-156.86*0+0.36-33489+34393</f>
        <v>34393.00000000001</v>
      </c>
      <c r="H78" s="67">
        <f>F78*1.02-156.86*0+0.36+743-34232+78740.32723</f>
        <v>78740.32723</v>
      </c>
      <c r="I78" s="67">
        <f>H78*1.02-157.26*0+0.22-155.86-80159.4937746+33846.42806</f>
        <v>33846.428059999984</v>
      </c>
      <c r="J78" s="18">
        <f>(H78*0+I78)*1.02+(-156.64+0.46-0.04)*0-177</f>
        <v>34346.356621199986</v>
      </c>
      <c r="K78" s="18">
        <f>(I78*0+J78)*1.02+(-156.64+0.46-0.04)*0-177-34856.283753624+11851</f>
        <v>11850.999999999993</v>
      </c>
      <c r="L78" s="18">
        <f>K78*1.02+(0.28-158.28)*0-179.46*0-216.02</f>
        <v>11871.999999999993</v>
      </c>
      <c r="M78" s="18">
        <f>L78*1.02+(0.4-157.36)*0-178.88*0-215.44</f>
        <v>11893.999999999993</v>
      </c>
      <c r="N78" s="199">
        <f>M78*1.02+(0.24-158.4)*0-180.32*0-217.88</f>
        <v>11913.999999999993</v>
      </c>
      <c r="O78" s="18">
        <f>N78*1.02+(0.24-158.4)*0-180.32*0-219.28</f>
        <v>11932.999999999993</v>
      </c>
      <c r="P78" s="200">
        <f>O78*1.02+(0.24-158.4)*0-180.32*0-219.66</f>
        <v>11951.999999999993</v>
      </c>
    </row>
    <row r="79" spans="1:16" ht="13.5" thickBot="1">
      <c r="A79" s="26" t="s">
        <v>12</v>
      </c>
      <c r="B79" s="7">
        <f aca="true" t="shared" si="10" ref="B79:P79">B77+B78</f>
        <v>142433.83000000002</v>
      </c>
      <c r="C79" s="7">
        <f t="shared" si="10"/>
        <v>105810</v>
      </c>
      <c r="D79" s="7">
        <f t="shared" si="10"/>
        <v>106700.99999</v>
      </c>
      <c r="E79" s="7">
        <f t="shared" si="10"/>
        <v>106369</v>
      </c>
      <c r="F79" s="7">
        <f t="shared" si="10"/>
        <v>124186.00000000003</v>
      </c>
      <c r="G79" s="78">
        <f t="shared" si="10"/>
        <v>122229.5</v>
      </c>
      <c r="H79" s="193">
        <f t="shared" si="10"/>
        <v>173101.05122999998</v>
      </c>
      <c r="I79" s="193">
        <f t="shared" si="10"/>
        <v>131399.28108999997</v>
      </c>
      <c r="J79" s="193">
        <f t="shared" si="10"/>
        <v>133850.26671179998</v>
      </c>
      <c r="K79" s="193">
        <f t="shared" si="10"/>
        <v>85623.00000241201</v>
      </c>
      <c r="L79" s="193">
        <f t="shared" si="10"/>
        <v>87119.00000246023</v>
      </c>
      <c r="M79" s="193">
        <f t="shared" si="10"/>
        <v>88645.00000250945</v>
      </c>
      <c r="N79" s="202">
        <f t="shared" si="10"/>
        <v>90200.00000255962</v>
      </c>
      <c r="O79" s="193">
        <f t="shared" si="10"/>
        <v>91785.00000261082</v>
      </c>
      <c r="P79" s="203">
        <f t="shared" si="10"/>
        <v>93401.00000266306</v>
      </c>
    </row>
    <row r="80" spans="1:16" ht="4.5" customHeight="1">
      <c r="A80" s="3"/>
      <c r="B80" s="4"/>
      <c r="C80" s="44"/>
      <c r="D80" s="44"/>
      <c r="E80" s="45"/>
      <c r="F80" s="58"/>
      <c r="G80" s="75"/>
      <c r="H80" s="190"/>
      <c r="I80" s="191"/>
      <c r="J80" s="190"/>
      <c r="K80" s="190"/>
      <c r="L80" s="190"/>
      <c r="M80" s="190"/>
      <c r="N80" s="192"/>
      <c r="O80" s="190"/>
      <c r="P80" s="198"/>
    </row>
    <row r="81" spans="1:16" ht="13.5" thickBot="1">
      <c r="A81" s="24"/>
      <c r="B81" s="14"/>
      <c r="C81" s="14"/>
      <c r="D81" s="14"/>
      <c r="E81" s="14"/>
      <c r="F81" s="14"/>
      <c r="G81" s="83"/>
      <c r="H81" s="19">
        <f>329826.40688-157555.92365-H79+107/107*5342/5342*830.568*0</f>
        <v>-830.5679999999702</v>
      </c>
      <c r="I81" s="19">
        <f>252643.88737-121244.60628-I79+107/107*5342/5342*830.568*0*0</f>
        <v>2.9103830456733704E-11</v>
      </c>
      <c r="J81" s="211"/>
      <c r="K81" s="211"/>
      <c r="L81" s="211"/>
      <c r="M81" s="211"/>
      <c r="N81" s="102"/>
      <c r="O81" s="211"/>
      <c r="P81" s="212"/>
    </row>
    <row r="82" spans="1:16" s="35" customFormat="1" ht="24" thickBot="1">
      <c r="A82" s="34" t="s">
        <v>16</v>
      </c>
      <c r="B82" s="15">
        <f aca="true" t="shared" si="11" ref="B82:P82">B74-B79</f>
        <v>-20410.020000000004</v>
      </c>
      <c r="C82" s="15">
        <f t="shared" si="11"/>
        <v>-9875</v>
      </c>
      <c r="D82" s="15">
        <f t="shared" si="11"/>
        <v>-14272</v>
      </c>
      <c r="E82" s="15">
        <f t="shared" si="11"/>
        <v>3398.9999997999985</v>
      </c>
      <c r="F82" s="15">
        <f t="shared" si="11"/>
        <v>879.9999999959837</v>
      </c>
      <c r="G82" s="84">
        <f t="shared" si="11"/>
        <v>-4.0745362639427185E-09</v>
      </c>
      <c r="H82" s="15">
        <f t="shared" si="11"/>
        <v>10307.60456999595</v>
      </c>
      <c r="I82" s="15">
        <f t="shared" si="11"/>
        <v>906.2349948958727</v>
      </c>
      <c r="J82" s="15">
        <f t="shared" si="11"/>
        <v>899.0776255982637</v>
      </c>
      <c r="K82" s="15">
        <f t="shared" si="11"/>
        <v>-2.807268174365163E-06</v>
      </c>
      <c r="L82" s="15">
        <f t="shared" si="11"/>
        <v>-2.8525828383862972E-06</v>
      </c>
      <c r="M82" s="15">
        <f t="shared" si="11"/>
        <v>-2.8987706173211336E-06</v>
      </c>
      <c r="N82" s="213">
        <f t="shared" si="11"/>
        <v>-2.9458169592544436E-06</v>
      </c>
      <c r="O82" s="15">
        <f t="shared" si="11"/>
        <v>-2.9937655199319124E-06</v>
      </c>
      <c r="P82" s="214">
        <f t="shared" si="11"/>
        <v>-3.04261629935354E-06</v>
      </c>
    </row>
    <row r="83" spans="1:16" ht="12.75">
      <c r="A83" s="29" t="s">
        <v>15</v>
      </c>
      <c r="B83" s="8"/>
      <c r="C83" s="22">
        <f>3735.4+1479.2+3415.8+(577.9)+2004/2004*3272.8</f>
        <v>12481.100000000002</v>
      </c>
      <c r="D83" s="56">
        <f>8/8*14426.97605-0.07605+0.1</f>
        <v>14427</v>
      </c>
      <c r="E83" s="57">
        <f>8/8*-(3399.12486-0.12486)</f>
        <v>-3399</v>
      </c>
      <c r="F83" s="57">
        <f>8/8*-(880.09755-0.09755)</f>
        <v>-880</v>
      </c>
      <c r="G83" s="79"/>
      <c r="H83" s="215">
        <f>11138.17257-H82+H81</f>
        <v>4.079993232153356E-09</v>
      </c>
      <c r="I83" s="215">
        <f>906.235-I82+I81</f>
        <v>5.1041564574916265E-06</v>
      </c>
      <c r="J83" s="216"/>
      <c r="K83" s="216"/>
      <c r="L83" s="216"/>
      <c r="M83" s="216"/>
      <c r="N83" s="217"/>
      <c r="O83" s="216"/>
      <c r="P83" s="218"/>
    </row>
    <row r="84" spans="1:16" ht="24">
      <c r="A84" s="23" t="s">
        <v>13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85">
        <v>0</v>
      </c>
      <c r="H84" s="18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219">
        <v>0</v>
      </c>
      <c r="O84" s="32">
        <v>0</v>
      </c>
      <c r="P84" s="220">
        <v>0</v>
      </c>
    </row>
    <row r="85" spans="1:16" ht="4.5" customHeight="1">
      <c r="A85" s="23"/>
      <c r="B85" s="18"/>
      <c r="C85" s="18"/>
      <c r="D85" s="18"/>
      <c r="E85" s="18"/>
      <c r="F85" s="18"/>
      <c r="G85" s="86"/>
      <c r="H85" s="18"/>
      <c r="I85" s="32"/>
      <c r="J85" s="32"/>
      <c r="K85" s="32"/>
      <c r="L85" s="32"/>
      <c r="M85" s="32"/>
      <c r="N85" s="219"/>
      <c r="O85" s="32"/>
      <c r="P85" s="220"/>
    </row>
    <row r="86" spans="1:16" ht="24">
      <c r="A86" s="23" t="s">
        <v>17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86">
        <v>0</v>
      </c>
      <c r="H86" s="18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219">
        <v>0</v>
      </c>
      <c r="O86" s="32">
        <v>0</v>
      </c>
      <c r="P86" s="220">
        <v>0</v>
      </c>
    </row>
    <row r="87" spans="1:16" ht="4.5" customHeight="1" thickBot="1">
      <c r="A87" s="24"/>
      <c r="B87" s="19"/>
      <c r="C87" s="19"/>
      <c r="D87" s="19"/>
      <c r="E87" s="19"/>
      <c r="F87" s="20"/>
      <c r="G87" s="87"/>
      <c r="H87" s="19"/>
      <c r="I87" s="102"/>
      <c r="J87" s="211"/>
      <c r="K87" s="211"/>
      <c r="L87" s="211"/>
      <c r="M87" s="211"/>
      <c r="N87" s="102"/>
      <c r="O87" s="211"/>
      <c r="P87" s="212"/>
    </row>
    <row r="88" spans="1:16" ht="23.25" thickBot="1">
      <c r="A88" s="30" t="s">
        <v>14</v>
      </c>
      <c r="B88" s="15">
        <f>0</f>
        <v>0</v>
      </c>
      <c r="C88" s="15">
        <f>0</f>
        <v>0</v>
      </c>
      <c r="D88" s="15">
        <v>0</v>
      </c>
      <c r="E88" s="15">
        <v>0</v>
      </c>
      <c r="F88" s="15">
        <v>0</v>
      </c>
      <c r="G88" s="84">
        <v>0</v>
      </c>
      <c r="H88" s="15">
        <v>0</v>
      </c>
      <c r="I88" s="103">
        <v>0</v>
      </c>
      <c r="J88" s="221">
        <v>0</v>
      </c>
      <c r="K88" s="221">
        <v>0</v>
      </c>
      <c r="L88" s="221">
        <v>0</v>
      </c>
      <c r="M88" s="221">
        <v>0</v>
      </c>
      <c r="N88" s="222">
        <v>0</v>
      </c>
      <c r="O88" s="221">
        <v>0</v>
      </c>
      <c r="P88" s="223">
        <v>0</v>
      </c>
    </row>
    <row r="89" spans="8:16" ht="13.5" thickBot="1">
      <c r="H89" s="224"/>
      <c r="I89" s="225"/>
      <c r="J89" s="225"/>
      <c r="K89" s="224"/>
      <c r="L89" s="224"/>
      <c r="M89" s="224"/>
      <c r="N89" s="224"/>
      <c r="O89" s="224"/>
      <c r="P89" s="224"/>
    </row>
    <row r="90" spans="1:16" ht="35.25" thickBot="1">
      <c r="A90" s="182" t="s">
        <v>42</v>
      </c>
      <c r="H90" s="194" t="s">
        <v>34</v>
      </c>
      <c r="I90" s="195" t="s">
        <v>36</v>
      </c>
      <c r="J90" s="195" t="s">
        <v>44</v>
      </c>
      <c r="K90" s="194" t="s">
        <v>35</v>
      </c>
      <c r="L90" s="194" t="s">
        <v>18</v>
      </c>
      <c r="M90" s="194" t="s">
        <v>19</v>
      </c>
      <c r="N90" s="196" t="s">
        <v>20</v>
      </c>
      <c r="O90" s="194" t="s">
        <v>32</v>
      </c>
      <c r="P90" s="197" t="s">
        <v>33</v>
      </c>
    </row>
    <row r="91" spans="1:16" ht="12.75">
      <c r="A91" s="183" t="s">
        <v>39</v>
      </c>
      <c r="G91" s="98" t="s">
        <v>39</v>
      </c>
      <c r="H91" s="67">
        <f>411/411*38744.497+421/421*4950</f>
        <v>43694.497</v>
      </c>
      <c r="I91" s="67">
        <f>411/411*46255.3+415/415*62.91212</f>
        <v>46318.212120000004</v>
      </c>
      <c r="J91" s="18">
        <f>(H91*0+I91)*1.02+(0.6-0.18)</f>
        <v>47244.9963624</v>
      </c>
      <c r="K91" s="18">
        <f>411/411*16653</f>
        <v>16653</v>
      </c>
      <c r="L91" s="18">
        <f>K91*1.02-0.16+0.1</f>
        <v>16986</v>
      </c>
      <c r="M91" s="18">
        <f>L91*1.02-0.34+0.62</f>
        <v>17326</v>
      </c>
      <c r="N91" s="199">
        <f>M91*1.02+0.02+0.46</f>
        <v>17673</v>
      </c>
      <c r="O91" s="18">
        <f>N91*1.02-0.1-0.4</f>
        <v>18025.96</v>
      </c>
      <c r="P91" s="200">
        <f>O91*1.02+0.3+0.2</f>
        <v>18386.979199999998</v>
      </c>
    </row>
    <row r="92" spans="1:16" ht="12.75">
      <c r="A92" s="184" t="s">
        <v>40</v>
      </c>
      <c r="G92" s="98" t="s">
        <v>40</v>
      </c>
      <c r="H92" s="67">
        <f>412/412*40958.93476+422/422*21500</f>
        <v>62458.93476</v>
      </c>
      <c r="I92" s="67">
        <f>412/412*46666.35628+422/422*15000</f>
        <v>61666.35628</v>
      </c>
      <c r="J92" s="18">
        <f>(H92*0+I92)*1.02+(0.6-0.28)</f>
        <v>62900.0034056</v>
      </c>
      <c r="K92" s="18">
        <f>412/412*(31120*0+17022011/17022011*29049)</f>
        <v>29049</v>
      </c>
      <c r="L92" s="18">
        <f>K92*1.02-0.16+0.2</f>
        <v>29630.02</v>
      </c>
      <c r="M92" s="18">
        <f>L92*1.02-0.34+0.72</f>
        <v>30223.0004</v>
      </c>
      <c r="N92" s="199">
        <f>M92*1.02+0.02-0.48</f>
        <v>30827.000408000004</v>
      </c>
      <c r="O92" s="18">
        <f>N92*1.02-0.1+0.6</f>
        <v>31444.040416160005</v>
      </c>
      <c r="P92" s="200">
        <f>O92*1.02+0.3-0.2</f>
        <v>32073.021224483204</v>
      </c>
    </row>
    <row r="93" spans="1:16" ht="12.75">
      <c r="A93" s="184" t="s">
        <v>41</v>
      </c>
      <c r="G93" s="98" t="s">
        <v>41</v>
      </c>
      <c r="H93" s="67">
        <f>413/413*63650</f>
        <v>63650</v>
      </c>
      <c r="I93" s="67">
        <f>413/413*7000</f>
        <v>7000</v>
      </c>
      <c r="J93" s="18">
        <f>(H93*0+I93)*1.02+(0.6-0.6)</f>
        <v>7140</v>
      </c>
      <c r="K93" s="18">
        <f>413/413*12256</f>
        <v>12256</v>
      </c>
      <c r="L93" s="18">
        <f>K93*1.02-0.16</f>
        <v>12500.960000000001</v>
      </c>
      <c r="M93" s="18">
        <f>L93*1.02-0.34-0.64</f>
        <v>12749.999200000002</v>
      </c>
      <c r="N93" s="199">
        <f>M93*1.02+0.02-0.02</f>
        <v>13004.999184000002</v>
      </c>
      <c r="O93" s="18">
        <f>N93*1.02-0.1</f>
        <v>13264.999167680002</v>
      </c>
      <c r="P93" s="200">
        <f>O93*1.02+0.3-0.6</f>
        <v>13529.9991510336</v>
      </c>
    </row>
    <row r="94" spans="1:16" ht="12.75">
      <c r="A94" s="185"/>
      <c r="H94" s="226">
        <f aca="true" t="shared" si="12" ref="H94:P94">SUM(H91:H93)</f>
        <v>169803.43176</v>
      </c>
      <c r="I94" s="226">
        <f t="shared" si="12"/>
        <v>114984.5684</v>
      </c>
      <c r="J94" s="226">
        <f t="shared" si="12"/>
        <v>117284.99976800001</v>
      </c>
      <c r="K94" s="226">
        <f t="shared" si="12"/>
        <v>57958</v>
      </c>
      <c r="L94" s="226">
        <f t="shared" si="12"/>
        <v>59116.98</v>
      </c>
      <c r="M94" s="226">
        <f t="shared" si="12"/>
        <v>60298.99960000001</v>
      </c>
      <c r="N94" s="226">
        <f t="shared" si="12"/>
        <v>61504.99959200001</v>
      </c>
      <c r="O94" s="226">
        <f t="shared" si="12"/>
        <v>62734.99958384001</v>
      </c>
      <c r="P94" s="227">
        <f t="shared" si="12"/>
        <v>63989.999575516806</v>
      </c>
    </row>
    <row r="95" spans="1:16" ht="13.5" thickBot="1">
      <c r="A95" s="186"/>
      <c r="H95" s="187">
        <f>H94-H73</f>
        <v>4.0745362639427185E-09</v>
      </c>
      <c r="I95" s="187">
        <f aca="true" t="shared" si="13" ref="I95:P95">I94-I73</f>
        <v>4.804154741577804E-06</v>
      </c>
      <c r="J95" s="187">
        <f t="shared" si="13"/>
        <v>0.14000490024045575</v>
      </c>
      <c r="K95" s="187">
        <f t="shared" si="13"/>
        <v>-3.6176061257719994E-07</v>
      </c>
      <c r="L95" s="187">
        <f t="shared" si="13"/>
        <v>-0.020000368989713024</v>
      </c>
      <c r="M95" s="187">
        <f t="shared" si="13"/>
        <v>-0.00040037636790657416</v>
      </c>
      <c r="N95" s="187">
        <f t="shared" si="13"/>
        <v>-0.00040838389395503327</v>
      </c>
      <c r="O95" s="187">
        <f t="shared" si="13"/>
        <v>-0.0004165515783824958</v>
      </c>
      <c r="P95" s="188">
        <f t="shared" si="13"/>
        <v>-0.00042488261533435434</v>
      </c>
    </row>
  </sheetData>
  <sheetProtection password="CC4F" sheet="1" objects="1" scenarios="1"/>
  <printOptions/>
  <pageMargins left="0.7874015748031497" right="0" top="0.7874015748031497" bottom="0.5905511811023623" header="0.5118110236220472" footer="0.31496062992125984"/>
  <pageSetup horizontalDpi="600" verticalDpi="600" orientation="portrait" paperSize="9" scale="95" r:id="rId1"/>
  <headerFooter alignWithMargins="0">
    <oddHeader>&amp;RZMČ 23. 3. 2011 příl 2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C15</dc:creator>
  <cp:keywords/>
  <dc:description/>
  <cp:lastModifiedBy>Marta Tišlová</cp:lastModifiedBy>
  <cp:lastPrinted>2011-03-06T17:28:40Z</cp:lastPrinted>
  <dcterms:created xsi:type="dcterms:W3CDTF">2005-11-15T11:31:48Z</dcterms:created>
  <dcterms:modified xsi:type="dcterms:W3CDTF">2011-03-06T17:30:35Z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